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50" windowHeight="7070"/>
  </bookViews>
  <sheets>
    <sheet name="Rev 1.1" sheetId="1" r:id="rId1"/>
  </sheets>
  <definedNames>
    <definedName name="ACT_FIELD_RATE">'Rev 1.1'!$Q$43</definedName>
    <definedName name="ACT_FRAME_RATE">'Rev 1.1'!$Q$44</definedName>
    <definedName name="ACT_H_FREQ">'Rev 1.1'!$Q$41</definedName>
    <definedName name="ACT_PIXEL_FREQ">'Rev 1.1'!$Q$46</definedName>
    <definedName name="ACT_VBI_LINES">'Rev 1.1'!$Y$21</definedName>
    <definedName name="ASPECT_RATIO">'Rev 1.1'!$F$36</definedName>
    <definedName name="BOT_MARGIN">'Rev 1.1'!$Q$30</definedName>
    <definedName name="C_PRIME">'Rev 1.1'!$K$116</definedName>
    <definedName name="CELL_GRAN_RND">'Rev 1.1'!$Q$8</definedName>
    <definedName name="CLOCK_STEP">'Rev 1.1'!$K$128</definedName>
    <definedName name="GTF_C_VAR">'Rev 1.1'!$K$111</definedName>
    <definedName name="GTF_J_VAR">'Rev 1.1'!$K$113</definedName>
    <definedName name="GTF_K_VAR">'Rev 1.1'!$K$112</definedName>
    <definedName name="GTF_M_VAR">'Rev 1.1'!$K$110</definedName>
    <definedName name="H_BACK_PORCH">'Rev 1.1'!$Q$57</definedName>
    <definedName name="H_BLANK">'Rev 1.1'!$Q$51</definedName>
    <definedName name="H_FRONT_PORCH">'Rev 1.1'!$Q$53</definedName>
    <definedName name="H_PERIOD_EST">'Rev 1.1'!$Q$38</definedName>
    <definedName name="H_PIXELS">'Rev 1.1'!$K$8</definedName>
    <definedName name="H_PIXELS_RND">'Rev 1.1'!$Q$16</definedName>
    <definedName name="H_SYNC_PER">'Rev 1.1'!$U$9</definedName>
    <definedName name="H_SYNC_RND">'Rev 1.1'!$Q$55</definedName>
    <definedName name="IDEAL_DUTY_CYCLE">'Rev 1.1'!$U$27</definedName>
    <definedName name="INT_RQD?">'Rev 1.1'!$K$11</definedName>
    <definedName name="INTERLACE">'Rev 1.1'!$Q$33</definedName>
    <definedName name="IP_FREQ_RQD">'Rev 1.1'!$K$12</definedName>
    <definedName name="LEFT_MARGIN">'Rev 1.1'!$Q$19</definedName>
    <definedName name="M_PRIME">'Rev 1.1'!$K$115</definedName>
    <definedName name="MARGIN_PER">'Rev 1.1'!$Q$9</definedName>
    <definedName name="MARGINS_RQD?">'Rev 1.1'!$K$10</definedName>
    <definedName name="MIN_V_BPORCH">'Rev 1.1'!$K$102</definedName>
    <definedName name="MIN_V_PORCH">'Rev 1.1'!$K$103</definedName>
    <definedName name="MIN_V_PORCH_RND">'Rev 1.1'!$Q$10</definedName>
    <definedName name="MIN_VSYNC_BP">'Rev 1.1'!$U$8</definedName>
    <definedName name="RB_H_BLANK">'Rev 1.1'!$Y$10</definedName>
    <definedName name="RB_MIN_V_BLANK">'Rev 1.1'!$Y$8</definedName>
    <definedName name="RB_MIN_VBI">'Rev 1.1'!$Y$20</definedName>
    <definedName name="RB_V_FPORCH">'Rev 1.1'!$K$124</definedName>
    <definedName name="RED_BLANK_RQD?">'Rev 1.1'!$K$13</definedName>
    <definedName name="RIGHT_MARGIN">'Rev 1.1'!$Q$20</definedName>
    <definedName name="TOP_MARGIN">'Rev 1.1'!$Q$29</definedName>
    <definedName name="TOTAL_ACTIVE_PIXELS">'Rev 1.1'!$Q$23</definedName>
    <definedName name="TOTAL_PIXELS">'Rev 1.1'!$Q$49</definedName>
    <definedName name="TOTAL_V_LINES">'Rev 1.1'!$Q$60</definedName>
    <definedName name="V_BACK_PORCH">'Rev 1.1'!$Q$68</definedName>
    <definedName name="V_BLANK">'Rev 1.1'!$Q$62</definedName>
    <definedName name="V_FIELD_RATE_RQD">'Rev 1.1'!$Q$13</definedName>
    <definedName name="V_FRONT_PORCH">'Rev 1.1'!$Q$64</definedName>
    <definedName name="V_LINES">'Rev 1.1'!$K$9</definedName>
    <definedName name="V_LINES_RND">'Rev 1.1'!$Q$26</definedName>
    <definedName name="V_SYNC">'Rev 1.1'!$K$93</definedName>
    <definedName name="V_SYNC_BP">'Rev 1.1'!$U$18</definedName>
    <definedName name="V_SYNC_RND">'Rev 1.1'!$Q$66</definedName>
    <definedName name="VBI_LINES">'Rev 1.1'!$Y$16</definedName>
    <definedName name="VSYNC_WIDTH_TABLE">'Rev 1.1'!$D$135:$E$142</definedName>
  </definedNames>
  <calcPr calcId="144525"/>
</workbook>
</file>

<file path=xl/sharedStrings.xml><?xml version="1.0" encoding="utf-8"?>
<sst xmlns="http://schemas.openxmlformats.org/spreadsheetml/2006/main" count="285" uniqueCount="212">
  <si>
    <t>MCTRL4K Ultra-High Resolution Settings Generator (Rev 1.1)</t>
  </si>
  <si>
    <t>The following results are obtained by changing the parameter values in the yellow cells:</t>
  </si>
  <si>
    <t>Horizontal Pixels</t>
  </si>
  <si>
    <t>Timing Parameter</t>
  </si>
  <si>
    <t>Active Pixels</t>
  </si>
  <si>
    <t>Front Porch (Pixels)</t>
  </si>
  <si>
    <t>Sync Width (Pixels)</t>
  </si>
  <si>
    <t>Total Pixels</t>
  </si>
  <si>
    <t>Polarity</t>
  </si>
  <si>
    <t>Configuration Check:</t>
  </si>
  <si>
    <t>Vertical Lines</t>
  </si>
  <si>
    <t>Horizontal</t>
  </si>
  <si>
    <t>Refresh Rate</t>
  </si>
  <si>
    <t>Vertical</t>
  </si>
  <si>
    <t>CONSTANTS:</t>
  </si>
  <si>
    <t>STANDARD CRT TIMING SCRATCH PAD:</t>
  </si>
  <si>
    <t>REDUCED BLANKING SCRATCH PAD:</t>
  </si>
  <si>
    <t>CHECKS:</t>
  </si>
  <si>
    <t>1) Enter Desired Horizontal Pixels Here =&gt;</t>
  </si>
  <si>
    <t>CELL_GRAN_RND (Pixels) =</t>
  </si>
  <si>
    <t xml:space="preserve">MIN_VSYNC_BP (uS) = </t>
  </si>
  <si>
    <t>RB_MIN_V_BLANK (us) =</t>
  </si>
  <si>
    <t>2) Enter Desired Vertical Pixels Here =&gt;</t>
  </si>
  <si>
    <t>MARGIN_PER (%) =</t>
  </si>
  <si>
    <t>H_SYNC_PER (%) =</t>
  </si>
  <si>
    <t>RB_H_SYNC (Pixels) =</t>
  </si>
  <si>
    <t>3) Enter If You Want Margins Here (Y or N) =&gt;</t>
  </si>
  <si>
    <t>n</t>
  </si>
  <si>
    <t xml:space="preserve">MIN_V_PORCH_RND (Lines) = </t>
  </si>
  <si>
    <t>RB_H_BLANK (Pixels) =</t>
  </si>
  <si>
    <t>4) Enter If You Want Interlace Here (Y or N) =&gt;</t>
  </si>
  <si>
    <t xml:space="preserve"> </t>
  </si>
  <si>
    <t>COMMON TIMING PARAMETERS:</t>
  </si>
  <si>
    <t>SPEC STEP #:</t>
  </si>
  <si>
    <t>5) Enter Vertical Scan Frame Rate Here =&gt;</t>
  </si>
  <si>
    <t>Hz</t>
  </si>
  <si>
    <t>REQUIRED FIELD RATE</t>
  </si>
  <si>
    <t>ESTIMATE HORIZ. PERIOD (us):</t>
  </si>
  <si>
    <t>6) Enter If You Want Reduced Blanking Here (Y or N) =&gt;</t>
  </si>
  <si>
    <t>y</t>
  </si>
  <si>
    <t xml:space="preserve">V_FIELD_RATE (Hz) = </t>
  </si>
  <si>
    <t>Estimated H period =</t>
  </si>
  <si>
    <t>STATUS:</t>
  </si>
  <si>
    <t>HORIZONTAL PIXELS</t>
  </si>
  <si>
    <t>FIND NUMBER OF LINES IN (SYNC + BACK PORCH):</t>
  </si>
  <si>
    <t>FIND NUMBER OF LINES IN VERTICAL BLANKING:</t>
  </si>
  <si>
    <t>ERROR/WARNING MESSAGE</t>
  </si>
  <si>
    <t xml:space="preserve">H_PIXELS_RND = </t>
  </si>
  <si>
    <t>Estimated V_SYNC_BP</t>
  </si>
  <si>
    <t xml:space="preserve">VBI_LINES = </t>
  </si>
  <si>
    <t>(Actual value =)</t>
  </si>
  <si>
    <t>(Actual value)</t>
  </si>
  <si>
    <t>DETERMINE LEFT &amp; RIGHT BORDERS</t>
  </si>
  <si>
    <t>V_SYNC_BP</t>
  </si>
  <si>
    <t xml:space="preserve">LEFT_MARGIN = </t>
  </si>
  <si>
    <t>CHECK VERTICAL BLANKING IS SUFFICENT</t>
  </si>
  <si>
    <t xml:space="preserve">RIGHT_MARGIN = </t>
  </si>
  <si>
    <t>FIND NUMBER OF LINES IN BACK PORCH (Lines):</t>
  </si>
  <si>
    <t>Minimum VBI Lines=</t>
  </si>
  <si>
    <t>Back porch =</t>
  </si>
  <si>
    <t>ACT_VBI_LINES =</t>
  </si>
  <si>
    <t>FIND TOTAL ACTIVE PIXELS</t>
  </si>
  <si>
    <t xml:space="preserve">TOTAL_ACTIVE_PIXELS = </t>
  </si>
  <si>
    <t>FIND TOTAL NUMBER OF LINES IN VERTICAL FIELD:</t>
  </si>
  <si>
    <t xml:space="preserve">Total lines = </t>
  </si>
  <si>
    <t>FIND NUMBER OF LINES PER FIELD</t>
  </si>
  <si>
    <t xml:space="preserve">V_LINES_RND = </t>
  </si>
  <si>
    <t>FIND IDEAL BLANKING DUTY CYCLE FROM FORMULA (%):</t>
  </si>
  <si>
    <t>FIND TOTAL NUMBER OF PIXELS IN A LINE (Pixels):</t>
  </si>
  <si>
    <t>IDEAL_DUTY_CYCLE</t>
  </si>
  <si>
    <t>Total number of pixels=</t>
  </si>
  <si>
    <t>FIND TOP &amp; BOTTOM MARGINS</t>
  </si>
  <si>
    <t>HOR PIXELS</t>
  </si>
  <si>
    <t>PIXELS</t>
  </si>
  <si>
    <t xml:space="preserve">TOP_MARGIN = </t>
  </si>
  <si>
    <t>FIND BLANKING TIME TO NEAREST CHAR CELL (Pixels):</t>
  </si>
  <si>
    <t>FIND PIXEL CLOCK FREQUENCY (MHz):</t>
  </si>
  <si>
    <t>VER PIXELS</t>
  </si>
  <si>
    <t>LINES</t>
  </si>
  <si>
    <t xml:space="preserve">BOT_MARGIN = </t>
  </si>
  <si>
    <t>Blanking time =</t>
  </si>
  <si>
    <t>HOR FREQUENCY</t>
  </si>
  <si>
    <t>kHz</t>
  </si>
  <si>
    <t>Non-rounded value =</t>
  </si>
  <si>
    <t>ACTUAL VER FREQUENCY</t>
  </si>
  <si>
    <t>INTERLACE</t>
  </si>
  <si>
    <t>PIXEL CLOCK</t>
  </si>
  <si>
    <t>MHz</t>
  </si>
  <si>
    <t xml:space="preserve">INTERLACE = </t>
  </si>
  <si>
    <t>FIND ACTUAL HORIZONTAL FREQUENCY (kHz):</t>
  </si>
  <si>
    <t xml:space="preserve">CHARACTER WIDTH </t>
  </si>
  <si>
    <t>ns</t>
  </si>
  <si>
    <t xml:space="preserve">Horiz. freq = </t>
  </si>
  <si>
    <t>SCAN TYPE</t>
  </si>
  <si>
    <t>RESULTS:</t>
  </si>
  <si>
    <t>ASPECT RATIO</t>
  </si>
  <si>
    <t>FIND ACTUAL FIELD RATE (Hz):</t>
  </si>
  <si>
    <t>HSYNC POLARITY</t>
  </si>
  <si>
    <t>Estimated Horizontal Frequency (kHz):</t>
  </si>
  <si>
    <t>Actual vertical field rate =</t>
  </si>
  <si>
    <t>VSYNC POLARITY</t>
  </si>
  <si>
    <t xml:space="preserve">H_PERIOD_EST = </t>
  </si>
  <si>
    <t>FIND ACTUAL VERTICAL  FRAME FREQUENCY (Hz):</t>
  </si>
  <si>
    <t>Actual Horizontal Frequency (kHz):</t>
  </si>
  <si>
    <t>Actual vertical frame rate =</t>
  </si>
  <si>
    <t>HOR TOTAL</t>
  </si>
  <si>
    <t>us</t>
  </si>
  <si>
    <t>CHARS</t>
  </si>
  <si>
    <t xml:space="preserve">ACT_H_FREQ = </t>
  </si>
  <si>
    <t>HOR ADDR</t>
  </si>
  <si>
    <t>Actual Vertical Frequency (Hz):</t>
  </si>
  <si>
    <t>ACT_FIELD_RATE =</t>
  </si>
  <si>
    <t xml:space="preserve">ACT_FRAME_RATE = </t>
  </si>
  <si>
    <t>HOR BLANK</t>
  </si>
  <si>
    <t>Actual Pixel Clock (MHz):</t>
  </si>
  <si>
    <t>HOR BLANK+MARGIN</t>
  </si>
  <si>
    <t xml:space="preserve">ACT_PIXEL_FREQ = </t>
  </si>
  <si>
    <t>PREDICTED H BLANK DUTY CYCLE</t>
  </si>
  <si>
    <t>%</t>
  </si>
  <si>
    <t>(from GTF blanking formula)</t>
  </si>
  <si>
    <t>Horizontal Total (Pixels):</t>
  </si>
  <si>
    <t>ACTUAL HOR BLANK DUTY CYCLE</t>
  </si>
  <si>
    <t xml:space="preserve">TOTAL_PIXELS = </t>
  </si>
  <si>
    <t>ACT. HOR BLNK+MARGIN DUTY CYCLE</t>
  </si>
  <si>
    <t>Horizontal Blanking (Pixels):</t>
  </si>
  <si>
    <t xml:space="preserve">H LEFT MARGIN </t>
  </si>
  <si>
    <t xml:space="preserve">H_BLANK = </t>
  </si>
  <si>
    <t xml:space="preserve">H FRONT PORCH </t>
  </si>
  <si>
    <t>Hor Front Porch:</t>
  </si>
  <si>
    <t>HOR SYNC</t>
  </si>
  <si>
    <t xml:space="preserve">H_FRONT_PORCH = </t>
  </si>
  <si>
    <t>H BACK PORCH</t>
  </si>
  <si>
    <t>Hor Sync:</t>
  </si>
  <si>
    <t>H RIGHT MARGIN</t>
  </si>
  <si>
    <t xml:space="preserve">H_SYNC_RND = </t>
  </si>
  <si>
    <t>Hor Back Porch:</t>
  </si>
  <si>
    <t xml:space="preserve">H_BACK_PORCH = </t>
  </si>
  <si>
    <t>VER TOTAL</t>
  </si>
  <si>
    <t>ms</t>
  </si>
  <si>
    <t>VER ADDR</t>
  </si>
  <si>
    <t>Vertical Total (lines):</t>
  </si>
  <si>
    <t xml:space="preserve">TOTAL_V_LINES = </t>
  </si>
  <si>
    <t>Vertical Blanking (lines):</t>
  </si>
  <si>
    <t>VER BLANK</t>
  </si>
  <si>
    <t xml:space="preserve">V_BLANK = </t>
  </si>
  <si>
    <t>V TOP MARGIN</t>
  </si>
  <si>
    <t>Ver Front Porch:</t>
  </si>
  <si>
    <t>V FRONT PORCH</t>
  </si>
  <si>
    <t xml:space="preserve">V_FRONT_PORCH = </t>
  </si>
  <si>
    <t>VER SYNC</t>
  </si>
  <si>
    <t>Ver Sync:</t>
  </si>
  <si>
    <t>V BACK PORCH</t>
  </si>
  <si>
    <t xml:space="preserve">V_SYNC_RND = </t>
  </si>
  <si>
    <t>V BOTTOM MARGIN</t>
  </si>
  <si>
    <t>Ver Back Porch:</t>
  </si>
  <si>
    <t xml:space="preserve">V_BACK_PROCH = </t>
  </si>
  <si>
    <t>DEFAULT PARAMETER VALUES</t>
  </si>
  <si>
    <t>STANDARD TIMING:</t>
  </si>
  <si>
    <t>1) These are the default values that define the MARGIN size:</t>
  </si>
  <si>
    <t>Note:</t>
  </si>
  <si>
    <t xml:space="preserve"> Only ratio of MARGIN to image is important. Top and Bottom MARGINs are equal</t>
  </si>
  <si>
    <t xml:space="preserve">Side MARGINs are proportional to the ratio of image H/V pixels </t>
  </si>
  <si>
    <t>GIVE:</t>
  </si>
  <si>
    <t>Top/ bottom MARGIN size as % of height  (%)  {DEFAULT = 1.8}</t>
  </si>
  <si>
    <t>2) This default value defines the horizontal timing boundaries:</t>
  </si>
  <si>
    <t>Character cell horizontal granularity (pixels)  {DEFAULT = 8}</t>
  </si>
  <si>
    <t>3) These default values define analog system sync pulse width limitations:</t>
  </si>
  <si>
    <t>Vertical sync width (in lines) will be rounded down to nearest integer</t>
  </si>
  <si>
    <t>Horizontal sync width will be rounded to nearest char cell boundary</t>
  </si>
  <si>
    <t>Number of lines for vertical sync (lines)  {Derived from table}</t>
  </si>
  <si>
    <t>Nominal H sync width (% of line period)  {DEFAULT = 8}</t>
  </si>
  <si>
    <t>4) These default values define analog scan system vertical blanking time limitations:</t>
  </si>
  <si>
    <t xml:space="preserve">Vertical blanking time will rounded to nearest integer number of lines </t>
  </si>
  <si>
    <t>Minimum time of vertical sync+back porch interval (us)</t>
  </si>
  <si>
    <t>{DEFAULT = 550}</t>
  </si>
  <si>
    <t>Minimum number of vertical back porch lines {DEFAULT = 6}</t>
  </si>
  <si>
    <t>Minimum vertical porch (no of lines) {DEFAULT = 3}</t>
  </si>
  <si>
    <t>5) Definition of Horizontal blanking time limitation:</t>
  </si>
  <si>
    <t>Generalized blanking limitation formula used of the form:</t>
  </si>
  <si>
    <t xml:space="preserve">&lt;H BLANKING TIME (%)&gt; =C - ( M / Fh)  </t>
  </si>
  <si>
    <t>Where:</t>
  </si>
  <si>
    <t>M (gradient) (%/kHz)  {DEFAULT = 600}</t>
  </si>
  <si>
    <t>C (offset) (%)  {DEFAULT = 40}</t>
  </si>
  <si>
    <t>K (blanking time scaling factor)  {DEFAULT = 128}</t>
  </si>
  <si>
    <t>J (scaling factor weighting)  {DEFAULT = 20}</t>
  </si>
  <si>
    <t>M' = K / 256 * M</t>
  </si>
  <si>
    <t>C' = ( ( C - J ) * K / 256 ) + J</t>
  </si>
  <si>
    <t>REDUCED BLANKING TIMING:</t>
  </si>
  <si>
    <t>Fixed number of clocks for horizontal blanking  {DEFAULT = 160}</t>
  </si>
  <si>
    <t>Fixed number of clocks for horizontal sync  {DEFAULT = 32}</t>
  </si>
  <si>
    <t>Minimum vertical blanking interval time (us)  {DEFAULT = 460}</t>
  </si>
  <si>
    <t>Fixed number of lines for vertical front porch  {DEFAULT = 3}</t>
  </si>
  <si>
    <t>Minimum number of vertical back porch lines  {DEFAULT = 6}</t>
  </si>
  <si>
    <t>PIXEL CLOCK STEP (MHz):</t>
  </si>
  <si>
    <t>ASPECT RATIO VARIABLES:</t>
  </si>
  <si>
    <t>VSYNC WIDTH</t>
  </si>
  <si>
    <t>HSYNC / VSYNC POLARITY</t>
  </si>
  <si>
    <t>Lines</t>
  </si>
  <si>
    <t>4:3</t>
  </si>
  <si>
    <t>Hsync</t>
  </si>
  <si>
    <t>Vsync</t>
  </si>
  <si>
    <t>Description</t>
  </si>
  <si>
    <t>16:9</t>
  </si>
  <si>
    <t>NEGATIVE</t>
  </si>
  <si>
    <t>POSITIVE</t>
  </si>
  <si>
    <t>Standard CRT Based Timing (CVT-GTF)</t>
  </si>
  <si>
    <t>16:10</t>
  </si>
  <si>
    <t>Reduced Blanking (CVT-RB)</t>
  </si>
  <si>
    <t>5:4</t>
  </si>
  <si>
    <t>15:9</t>
  </si>
  <si>
    <t>Reserved</t>
  </si>
  <si>
    <t>Custom</t>
  </si>
</sst>
</file>

<file path=xl/styles.xml><?xml version="1.0" encoding="utf-8"?>
<styleSheet xmlns="http://schemas.openxmlformats.org/spreadsheetml/2006/main">
  <numFmts count="8">
    <numFmt numFmtId="42" formatCode="_ &quot;￥&quot;* #,##0_ ;_ &quot;￥&quot;* \-#,##0_ ;_ &quot;￥&quot;* &quot;-&quot;_ ;_ @_ "/>
    <numFmt numFmtId="176" formatCode="#,##0.000_);[Red]\(#,##0.000\)"/>
    <numFmt numFmtId="44" formatCode="_ &quot;￥&quot;* #,##0.00_ ;_ &quot;￥&quot;* \-#,##0.00_ ;_ &quot;￥&quot;* &quot;-&quot;??_ ;_ @_ "/>
    <numFmt numFmtId="177" formatCode="0.0"/>
    <numFmt numFmtId="41" formatCode="_ * #,##0_ ;_ * \-#,##0_ ;_ * &quot;-&quot;_ ;_ @_ "/>
    <numFmt numFmtId="43" formatCode="_ * #,##0.00_ ;_ * \-#,##0.00_ ;_ * &quot;-&quot;??_ ;_ @_ "/>
    <numFmt numFmtId="178" formatCode="0.000"/>
    <numFmt numFmtId="179" formatCode="#,##0.0_);[Red]\(#,##0.0\)"/>
  </numFmts>
  <fonts count="30">
    <font>
      <sz val="11"/>
      <color theme="1"/>
      <name val="等线"/>
      <charset val="134"/>
      <scheme val="minor"/>
    </font>
    <font>
      <sz val="12"/>
      <name val="微软雅黑"/>
      <charset val="134"/>
    </font>
    <font>
      <b/>
      <sz val="12"/>
      <name val="Arial"/>
      <charset val="134"/>
    </font>
    <font>
      <b/>
      <u/>
      <sz val="12"/>
      <name val="Arial"/>
      <charset val="134"/>
    </font>
    <font>
      <sz val="12"/>
      <name val="Arial"/>
      <charset val="134"/>
    </font>
    <font>
      <b/>
      <sz val="12"/>
      <name val="微软雅黑"/>
      <charset val="134"/>
    </font>
    <font>
      <b/>
      <sz val="12"/>
      <color indexed="10"/>
      <name val="微软雅黑"/>
      <charset val="134"/>
    </font>
    <font>
      <b/>
      <u/>
      <sz val="12"/>
      <name val="微软雅黑"/>
      <charset val="134"/>
    </font>
    <font>
      <b/>
      <u/>
      <sz val="12"/>
      <color indexed="10"/>
      <name val="微软雅黑"/>
      <charset val="134"/>
    </font>
    <font>
      <b/>
      <sz val="12"/>
      <color rgb="FFFF0000"/>
      <name val="微软雅黑"/>
      <charset val="134"/>
    </font>
    <font>
      <u/>
      <sz val="12"/>
      <color indexed="10"/>
      <name val="微软雅黑"/>
      <charset val="134"/>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1"/>
      <color rgb="FFFA7D00"/>
      <name val="等线"/>
      <charset val="0"/>
      <scheme val="minor"/>
    </font>
    <font>
      <sz val="11"/>
      <color rgb="FF9C6500"/>
      <name val="等线"/>
      <charset val="0"/>
      <scheme val="minor"/>
    </font>
    <font>
      <sz val="11"/>
      <color rgb="FF3F3F76"/>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FA7D00"/>
      <name val="等线"/>
      <charset val="0"/>
      <scheme val="minor"/>
    </font>
    <font>
      <b/>
      <sz val="15"/>
      <color theme="3"/>
      <name val="等线"/>
      <charset val="134"/>
      <scheme val="minor"/>
    </font>
    <font>
      <sz val="11"/>
      <color rgb="FF00610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double">
        <color auto="1"/>
      </left>
      <right/>
      <top/>
      <bottom style="double">
        <color auto="1"/>
      </bottom>
      <diagonal/>
    </border>
    <border>
      <left/>
      <right/>
      <top/>
      <bottom style="double">
        <color auto="1"/>
      </bottom>
      <diagonal/>
    </border>
    <border>
      <left style="double">
        <color auto="1"/>
      </left>
      <right/>
      <top style="thin">
        <color auto="1"/>
      </top>
      <bottom/>
      <diagonal/>
    </border>
    <border>
      <left style="double">
        <color auto="1"/>
      </left>
      <right/>
      <top/>
      <bottom style="thin">
        <color auto="1"/>
      </bottom>
      <diagonal/>
    </border>
    <border>
      <left/>
      <right style="thin">
        <color auto="1"/>
      </right>
      <top style="thin">
        <color auto="1"/>
      </top>
      <bottom style="thin">
        <color auto="1"/>
      </bottom>
      <diagonal/>
    </border>
    <border>
      <left/>
      <right style="double">
        <color auto="1"/>
      </right>
      <top style="double">
        <color auto="1"/>
      </top>
      <bottom/>
      <diagonal/>
    </border>
    <border>
      <left style="medium">
        <color auto="1"/>
      </left>
      <right/>
      <top style="medium">
        <color auto="1"/>
      </top>
      <bottom/>
      <diagonal/>
    </border>
    <border>
      <left/>
      <right/>
      <top style="medium">
        <color auto="1"/>
      </top>
      <bottom/>
      <diagonal/>
    </border>
    <border>
      <left/>
      <right style="double">
        <color auto="1"/>
      </right>
      <top/>
      <bottom/>
      <diagonal/>
    </border>
    <border>
      <left style="double">
        <color auto="1"/>
      </left>
      <right style="double">
        <color auto="1"/>
      </right>
      <top style="double">
        <color auto="1"/>
      </top>
      <bottom style="double">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double">
        <color auto="1"/>
      </left>
      <right/>
      <top style="double">
        <color auto="1"/>
      </top>
      <bottom style="double">
        <color auto="1"/>
      </bottom>
      <diagonal/>
    </border>
    <border>
      <left/>
      <right style="thin">
        <color auto="1"/>
      </right>
      <top style="thin">
        <color auto="1"/>
      </top>
      <bottom/>
      <diagonal/>
    </border>
    <border>
      <left/>
      <right style="thin">
        <color auto="1"/>
      </right>
      <top/>
      <bottom style="thin">
        <color auto="1"/>
      </bottom>
      <diagonal/>
    </border>
    <border>
      <left/>
      <right style="double">
        <color auto="1"/>
      </right>
      <top/>
      <bottom style="double">
        <color auto="1"/>
      </bottom>
      <diagonal/>
    </border>
    <border>
      <left/>
      <right/>
      <top style="medium">
        <color auto="1"/>
      </top>
      <bottom style="medium">
        <color auto="1"/>
      </bottom>
      <diagonal/>
    </border>
    <border>
      <left/>
      <right style="double">
        <color auto="1"/>
      </right>
      <top/>
      <bottom style="thin">
        <color auto="1"/>
      </bottom>
      <diagonal/>
    </border>
    <border>
      <left/>
      <right style="double">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20" fillId="20" borderId="5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8" borderId="62" applyNumberFormat="0" applyFont="0" applyAlignment="0" applyProtection="0">
      <alignment vertical="center"/>
    </xf>
    <xf numFmtId="0" fontId="16" fillId="16" borderId="0" applyNumberFormat="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61" applyNumberFormat="0" applyFill="0" applyAlignment="0" applyProtection="0">
      <alignment vertical="center"/>
    </xf>
    <xf numFmtId="0" fontId="28" fillId="0" borderId="61" applyNumberFormat="0" applyFill="0" applyAlignment="0" applyProtection="0">
      <alignment vertical="center"/>
    </xf>
    <xf numFmtId="0" fontId="16" fillId="33" borderId="0" applyNumberFormat="0" applyBorder="0" applyAlignment="0" applyProtection="0">
      <alignment vertical="center"/>
    </xf>
    <xf numFmtId="0" fontId="13" fillId="0" borderId="59" applyNumberFormat="0" applyFill="0" applyAlignment="0" applyProtection="0">
      <alignment vertical="center"/>
    </xf>
    <xf numFmtId="0" fontId="16" fillId="27" borderId="0" applyNumberFormat="0" applyBorder="0" applyAlignment="0" applyProtection="0">
      <alignment vertical="center"/>
    </xf>
    <xf numFmtId="0" fontId="17" fillId="12" borderId="56" applyNumberFormat="0" applyAlignment="0" applyProtection="0">
      <alignment vertical="center"/>
    </xf>
    <xf numFmtId="0" fontId="18" fillId="12" borderId="57" applyNumberFormat="0" applyAlignment="0" applyProtection="0">
      <alignment vertical="center"/>
    </xf>
    <xf numFmtId="0" fontId="27" fillId="32" borderId="63" applyNumberFormat="0" applyAlignment="0" applyProtection="0">
      <alignment vertical="center"/>
    </xf>
    <xf numFmtId="0" fontId="11" fillId="24" borderId="0" applyNumberFormat="0" applyBorder="0" applyAlignment="0" applyProtection="0">
      <alignment vertical="center"/>
    </xf>
    <xf numFmtId="0" fontId="16" fillId="15" borderId="0" applyNumberFormat="0" applyBorder="0" applyAlignment="0" applyProtection="0">
      <alignment vertical="center"/>
    </xf>
    <xf numFmtId="0" fontId="24" fillId="0" borderId="60" applyNumberFormat="0" applyFill="0" applyAlignment="0" applyProtection="0">
      <alignment vertical="center"/>
    </xf>
    <xf numFmtId="0" fontId="21" fillId="0" borderId="58" applyNumberFormat="0" applyFill="0" applyAlignment="0" applyProtection="0">
      <alignment vertical="center"/>
    </xf>
    <xf numFmtId="0" fontId="26" fillId="31" borderId="0" applyNumberFormat="0" applyBorder="0" applyAlignment="0" applyProtection="0">
      <alignment vertical="center"/>
    </xf>
    <xf numFmtId="0" fontId="19" fillId="19" borderId="0" applyNumberFormat="0" applyBorder="0" applyAlignment="0" applyProtection="0">
      <alignment vertical="center"/>
    </xf>
    <xf numFmtId="0" fontId="11" fillId="4" borderId="0" applyNumberFormat="0" applyBorder="0" applyAlignment="0" applyProtection="0">
      <alignment vertical="center"/>
    </xf>
    <xf numFmtId="0" fontId="16" fillId="8" borderId="0" applyNumberFormat="0" applyBorder="0" applyAlignment="0" applyProtection="0">
      <alignment vertical="center"/>
    </xf>
    <xf numFmtId="0" fontId="11" fillId="23" borderId="0" applyNumberFormat="0" applyBorder="0" applyAlignment="0" applyProtection="0">
      <alignment vertical="center"/>
    </xf>
    <xf numFmtId="0" fontId="11" fillId="11"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1" fillId="10" borderId="0" applyNumberFormat="0" applyBorder="0" applyAlignment="0" applyProtection="0">
      <alignment vertical="center"/>
    </xf>
    <xf numFmtId="0" fontId="11" fillId="29" borderId="0" applyNumberFormat="0" applyBorder="0" applyAlignment="0" applyProtection="0">
      <alignment vertical="center"/>
    </xf>
    <xf numFmtId="0" fontId="16" fillId="21" borderId="0" applyNumberFormat="0" applyBorder="0" applyAlignment="0" applyProtection="0">
      <alignment vertical="center"/>
    </xf>
    <xf numFmtId="0" fontId="11" fillId="25" borderId="0" applyNumberFormat="0" applyBorder="0" applyAlignment="0" applyProtection="0">
      <alignment vertical="center"/>
    </xf>
    <xf numFmtId="0" fontId="16" fillId="7" borderId="0" applyNumberFormat="0" applyBorder="0" applyAlignment="0" applyProtection="0">
      <alignment vertical="center"/>
    </xf>
    <xf numFmtId="0" fontId="16" fillId="17" borderId="0" applyNumberFormat="0" applyBorder="0" applyAlignment="0" applyProtection="0">
      <alignment vertical="center"/>
    </xf>
    <xf numFmtId="0" fontId="11" fillId="3" borderId="0" applyNumberFormat="0" applyBorder="0" applyAlignment="0" applyProtection="0">
      <alignment vertical="center"/>
    </xf>
    <xf numFmtId="0" fontId="16" fillId="6" borderId="0" applyNumberFormat="0" applyBorder="0" applyAlignment="0" applyProtection="0">
      <alignment vertical="center"/>
    </xf>
  </cellStyleXfs>
  <cellXfs count="236">
    <xf numFmtId="0" fontId="0" fillId="0" borderId="0" xfId="0"/>
    <xf numFmtId="0" fontId="1" fillId="0" borderId="0" xfId="0" applyFont="1" applyAlignment="1" applyProtection="1">
      <alignment vertical="center"/>
    </xf>
    <xf numFmtId="0" fontId="1" fillId="0" borderId="0" xfId="0" applyFont="1" applyAlignment="1" applyProtection="1">
      <alignment horizontal="center" vertical="center"/>
    </xf>
    <xf numFmtId="1" fontId="1" fillId="0" borderId="0" xfId="0" applyNumberFormat="1" applyFont="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right" vertical="center"/>
    </xf>
    <xf numFmtId="1" fontId="1" fillId="0" borderId="0" xfId="0" applyNumberFormat="1" applyFont="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1" fillId="2"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vertical="center"/>
    </xf>
    <xf numFmtId="0" fontId="4" fillId="0" borderId="1" xfId="0" applyFont="1" applyBorder="1" applyAlignment="1" applyProtection="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1" fillId="0" borderId="4" xfId="0" applyFont="1" applyBorder="1" applyAlignment="1" applyProtection="1">
      <alignment vertical="center"/>
    </xf>
    <xf numFmtId="0" fontId="1" fillId="0" borderId="5" xfId="0" applyFont="1" applyBorder="1" applyAlignment="1" applyProtection="1">
      <alignment horizontal="center"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5" fillId="0" borderId="0" xfId="0" applyFont="1" applyBorder="1" applyAlignment="1" applyProtection="1">
      <alignment horizontal="center" vertical="center"/>
    </xf>
    <xf numFmtId="176" fontId="5" fillId="0" borderId="0" xfId="0" applyNumberFormat="1" applyFont="1" applyBorder="1" applyAlignment="1" applyProtection="1">
      <alignment horizontal="center" vertical="center"/>
    </xf>
    <xf numFmtId="176"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0" xfId="0" applyFont="1" applyBorder="1" applyAlignment="1" applyProtection="1">
      <alignment horizontal="left" vertical="center" wrapText="1" indent="2"/>
    </xf>
    <xf numFmtId="0" fontId="1" fillId="0" borderId="0" xfId="0" applyFont="1" applyBorder="1" applyAlignment="1" applyProtection="1">
      <alignment horizontal="left" vertical="center" indent="2"/>
    </xf>
    <xf numFmtId="0" fontId="5" fillId="0" borderId="7" xfId="0" applyFont="1" applyBorder="1" applyAlignment="1" applyProtection="1">
      <alignment horizontal="center" vertical="center"/>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center" vertical="center" wrapText="1"/>
    </xf>
    <xf numFmtId="0" fontId="6" fillId="0" borderId="9" xfId="0" applyFont="1" applyBorder="1" applyAlignment="1" applyProtection="1">
      <alignment horizontal="left" vertical="center" wrapText="1"/>
    </xf>
    <xf numFmtId="0" fontId="1" fillId="0" borderId="7"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applyFont="1" applyBorder="1" applyAlignment="1" applyProtection="1">
      <alignment vertical="center"/>
    </xf>
    <xf numFmtId="0" fontId="7" fillId="0" borderId="14"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4" xfId="0" applyFont="1" applyBorder="1" applyAlignment="1" applyProtection="1">
      <alignment vertical="center"/>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5" fillId="0" borderId="0" xfId="0" applyFont="1" applyBorder="1" applyAlignment="1" applyProtection="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3" fontId="6" fillId="0" borderId="5" xfId="0" applyNumberFormat="1" applyFont="1" applyBorder="1" applyAlignment="1" applyProtection="1">
      <alignment vertical="center"/>
    </xf>
    <xf numFmtId="3" fontId="5" fillId="0" borderId="0" xfId="0" applyNumberFormat="1" applyFont="1" applyBorder="1" applyAlignment="1" applyProtection="1">
      <alignment horizontal="center" vertical="center"/>
    </xf>
    <xf numFmtId="3" fontId="6" fillId="0" borderId="0" xfId="0" applyNumberFormat="1" applyFont="1" applyBorder="1" applyAlignment="1" applyProtection="1">
      <alignment vertical="center"/>
    </xf>
    <xf numFmtId="3" fontId="1" fillId="0" borderId="0" xfId="0" applyNumberFormat="1" applyFont="1" applyBorder="1" applyAlignment="1" applyProtection="1">
      <alignment vertical="center"/>
    </xf>
    <xf numFmtId="3" fontId="5" fillId="0" borderId="0" xfId="0" applyNumberFormat="1" applyFont="1" applyBorder="1" applyAlignment="1" applyProtection="1">
      <alignment vertical="center"/>
    </xf>
    <xf numFmtId="178" fontId="5" fillId="0" borderId="0" xfId="0" applyNumberFormat="1" applyFont="1" applyBorder="1" applyAlignment="1" applyProtection="1">
      <alignment horizontal="center" vertical="center"/>
    </xf>
    <xf numFmtId="178" fontId="1" fillId="0" borderId="0" xfId="0" applyNumberFormat="1" applyFont="1" applyBorder="1" applyAlignment="1" applyProtection="1">
      <alignment horizontal="left" vertical="center"/>
    </xf>
    <xf numFmtId="0" fontId="8" fillId="0" borderId="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2" xfId="0" applyFont="1" applyBorder="1" applyAlignment="1" applyProtection="1">
      <alignment vertical="center"/>
    </xf>
    <xf numFmtId="176" fontId="5" fillId="0" borderId="12" xfId="0" applyNumberFormat="1" applyFont="1" applyBorder="1" applyAlignment="1" applyProtection="1">
      <alignment horizontal="center" vertical="center"/>
    </xf>
    <xf numFmtId="0" fontId="1" fillId="0" borderId="12" xfId="0" applyFont="1" applyBorder="1" applyAlignment="1" applyProtection="1">
      <alignment horizontal="left" vertical="center"/>
    </xf>
    <xf numFmtId="3" fontId="1" fillId="0" borderId="12" xfId="0" applyNumberFormat="1" applyFont="1" applyBorder="1" applyAlignment="1" applyProtection="1">
      <alignment vertical="center"/>
    </xf>
    <xf numFmtId="0" fontId="1" fillId="0" borderId="15" xfId="0" applyFont="1" applyBorder="1" applyAlignment="1" applyProtection="1">
      <alignment vertical="center"/>
    </xf>
    <xf numFmtId="0" fontId="8" fillId="0" borderId="9" xfId="0" applyFont="1" applyBorder="1" applyAlignment="1" applyProtection="1">
      <alignment horizontal="center" vertical="center"/>
    </xf>
    <xf numFmtId="176" fontId="1" fillId="0" borderId="0" xfId="0" applyNumberFormat="1" applyFont="1" applyBorder="1" applyAlignment="1" applyProtection="1">
      <alignment horizontal="left" vertical="center"/>
    </xf>
    <xf numFmtId="3" fontId="5" fillId="0" borderId="0" xfId="0" applyNumberFormat="1" applyFont="1" applyBorder="1" applyAlignment="1" applyProtection="1">
      <alignment horizontal="right" vertical="center"/>
    </xf>
    <xf numFmtId="0" fontId="1" fillId="0" borderId="16" xfId="0" applyFont="1" applyBorder="1" applyAlignment="1" applyProtection="1">
      <alignment vertical="center"/>
    </xf>
    <xf numFmtId="0" fontId="5" fillId="0" borderId="12" xfId="0" applyFont="1" applyBorder="1" applyAlignment="1" applyProtection="1">
      <alignment horizontal="center" vertical="center"/>
    </xf>
    <xf numFmtId="176" fontId="1" fillId="0" borderId="12" xfId="0" applyNumberFormat="1" applyFont="1" applyBorder="1" applyAlignment="1" applyProtection="1">
      <alignment horizontal="left" vertical="center"/>
    </xf>
    <xf numFmtId="3" fontId="5" fillId="0" borderId="12" xfId="0" applyNumberFormat="1" applyFont="1" applyBorder="1" applyAlignment="1" applyProtection="1">
      <alignment horizontal="right" vertical="center"/>
    </xf>
    <xf numFmtId="0" fontId="5" fillId="0" borderId="9"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9" xfId="0" applyFont="1" applyBorder="1" applyAlignment="1" applyProtection="1">
      <alignment vertical="center"/>
    </xf>
    <xf numFmtId="176" fontId="5" fillId="0" borderId="9" xfId="0" applyNumberFormat="1" applyFont="1" applyBorder="1" applyAlignment="1" applyProtection="1">
      <alignment horizontal="center" vertical="center"/>
    </xf>
    <xf numFmtId="176" fontId="1" fillId="0" borderId="9" xfId="0" applyNumberFormat="1" applyFont="1" applyBorder="1" applyAlignment="1" applyProtection="1">
      <alignment horizontal="left" vertical="center"/>
    </xf>
    <xf numFmtId="3" fontId="5" fillId="0" borderId="9" xfId="0" applyNumberFormat="1" applyFont="1" applyBorder="1" applyAlignment="1" applyProtection="1">
      <alignment horizontal="right" vertical="center"/>
    </xf>
    <xf numFmtId="176" fontId="1" fillId="0" borderId="0" xfId="0" applyNumberFormat="1" applyFont="1" applyBorder="1" applyAlignment="1" applyProtection="1">
      <alignment vertical="center"/>
    </xf>
    <xf numFmtId="3" fontId="5" fillId="0" borderId="12" xfId="0" applyNumberFormat="1" applyFont="1" applyBorder="1" applyAlignment="1" applyProtection="1">
      <alignment vertical="center"/>
    </xf>
    <xf numFmtId="176" fontId="1" fillId="0" borderId="0" xfId="0" applyNumberFormat="1" applyFont="1" applyBorder="1" applyAlignment="1" applyProtection="1">
      <alignment horizontal="centerContinuous" vertical="center"/>
    </xf>
    <xf numFmtId="1" fontId="5" fillId="0" borderId="0" xfId="0" applyNumberFormat="1" applyFont="1" applyBorder="1" applyAlignment="1" applyProtection="1">
      <alignment horizontal="centerContinuous" vertical="center"/>
    </xf>
    <xf numFmtId="178" fontId="5" fillId="0" borderId="0" xfId="0" applyNumberFormat="1" applyFont="1" applyBorder="1" applyAlignment="1" applyProtection="1">
      <alignment vertical="center"/>
    </xf>
    <xf numFmtId="178" fontId="5" fillId="0" borderId="12" xfId="0" applyNumberFormat="1" applyFont="1" applyBorder="1" applyAlignment="1" applyProtection="1">
      <alignment vertical="center"/>
    </xf>
    <xf numFmtId="176" fontId="1" fillId="0" borderId="9" xfId="0" applyNumberFormat="1" applyFont="1" applyBorder="1" applyAlignment="1" applyProtection="1">
      <alignment horizontal="centerContinuous" vertical="center"/>
    </xf>
    <xf numFmtId="1" fontId="5" fillId="0" borderId="9" xfId="0" applyNumberFormat="1" applyFont="1" applyBorder="1" applyAlignment="1" applyProtection="1">
      <alignment horizontal="centerContinuous" vertical="center"/>
    </xf>
    <xf numFmtId="176" fontId="5" fillId="0" borderId="0" xfId="0" applyNumberFormat="1" applyFont="1" applyBorder="1" applyAlignment="1" applyProtection="1">
      <alignment vertical="center"/>
    </xf>
    <xf numFmtId="0" fontId="3" fillId="0" borderId="17" xfId="0" applyFont="1" applyBorder="1" applyAlignment="1" applyProtection="1">
      <alignment horizontal="left" vertical="center" wrapText="1"/>
    </xf>
    <xf numFmtId="0" fontId="9" fillId="2" borderId="1" xfId="0" applyFont="1" applyFill="1" applyBorder="1" applyAlignment="1">
      <alignment horizontal="center" vertical="center" wrapText="1"/>
    </xf>
    <xf numFmtId="0" fontId="1" fillId="0" borderId="0" xfId="0" applyFont="1" applyAlignment="1">
      <alignment horizontal="left" vertical="center"/>
    </xf>
    <xf numFmtId="0" fontId="7" fillId="0" borderId="0" xfId="0" applyFont="1" applyAlignment="1" applyProtection="1">
      <alignment vertical="center"/>
    </xf>
    <xf numFmtId="0" fontId="1" fillId="0" borderId="18" xfId="0" applyFont="1" applyBorder="1" applyAlignment="1" applyProtection="1">
      <alignment vertical="center"/>
    </xf>
    <xf numFmtId="1" fontId="7" fillId="0" borderId="19" xfId="0" applyNumberFormat="1" applyFont="1" applyBorder="1" applyAlignment="1" applyProtection="1">
      <alignment vertical="center"/>
    </xf>
    <xf numFmtId="0" fontId="1" fillId="0" borderId="20" xfId="0" applyFont="1" applyBorder="1" applyAlignment="1" applyProtection="1">
      <alignment horizontal="left" vertical="center"/>
    </xf>
    <xf numFmtId="0" fontId="1" fillId="0" borderId="21" xfId="0" applyFont="1" applyBorder="1" applyAlignment="1" applyProtection="1">
      <alignment horizontal="left" vertical="center" wrapText="1"/>
    </xf>
    <xf numFmtId="1" fontId="5" fillId="0" borderId="22"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21" xfId="0" applyFont="1" applyBorder="1" applyAlignment="1" applyProtection="1">
      <alignment horizontal="center" vertical="center"/>
    </xf>
    <xf numFmtId="1" fontId="1" fillId="0" borderId="23" xfId="0" applyNumberFormat="1" applyFont="1" applyBorder="1" applyAlignment="1" applyProtection="1">
      <alignment vertical="center" wrapText="1"/>
    </xf>
    <xf numFmtId="1" fontId="1" fillId="0" borderId="0" xfId="0" applyNumberFormat="1" applyFont="1" applyBorder="1" applyAlignment="1" applyProtection="1">
      <alignment vertical="center" wrapText="1"/>
    </xf>
    <xf numFmtId="0" fontId="1" fillId="0" borderId="0" xfId="0" applyFont="1" applyBorder="1" applyAlignment="1" applyProtection="1">
      <alignment horizontal="centerContinuous" vertical="center"/>
    </xf>
    <xf numFmtId="0" fontId="5" fillId="0" borderId="22" xfId="0" applyFont="1" applyBorder="1" applyAlignment="1" applyProtection="1">
      <alignment horizontal="center" vertical="center"/>
      <protection locked="0"/>
    </xf>
    <xf numFmtId="1" fontId="1" fillId="0" borderId="24" xfId="0" applyNumberFormat="1" applyFont="1" applyBorder="1" applyAlignment="1" applyProtection="1">
      <alignment vertical="center"/>
    </xf>
    <xf numFmtId="0" fontId="1" fillId="0" borderId="25" xfId="0" applyFont="1" applyBorder="1" applyAlignment="1" applyProtection="1">
      <alignment horizontal="left" vertical="center" wrapText="1"/>
    </xf>
    <xf numFmtId="0" fontId="1" fillId="0" borderId="21" xfId="0" applyFont="1" applyBorder="1" applyAlignment="1" applyProtection="1">
      <alignment horizontal="left" vertical="center"/>
    </xf>
    <xf numFmtId="0" fontId="5" fillId="0" borderId="26"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xf>
    <xf numFmtId="0" fontId="5" fillId="0" borderId="21" xfId="0" applyFont="1" applyBorder="1" applyAlignment="1" applyProtection="1">
      <alignment horizontal="left" vertical="center"/>
    </xf>
    <xf numFmtId="1" fontId="1" fillId="0" borderId="23" xfId="0" applyNumberFormat="1"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27" xfId="0" applyFont="1" applyBorder="1" applyAlignment="1" applyProtection="1">
      <alignment horizontal="left" vertical="center" wrapText="1"/>
    </xf>
    <xf numFmtId="0" fontId="5" fillId="0" borderId="21" xfId="0" applyFont="1" applyBorder="1" applyAlignment="1" applyProtection="1">
      <alignment horizontal="center" vertical="center"/>
    </xf>
    <xf numFmtId="0" fontId="1" fillId="0" borderId="7" xfId="0" applyFont="1" applyBorder="1" applyAlignment="1">
      <alignment horizontal="left" vertical="center" wrapText="1"/>
    </xf>
    <xf numFmtId="0" fontId="1" fillId="0" borderId="28" xfId="0" applyFont="1" applyBorder="1" applyAlignment="1">
      <alignment horizontal="left" vertical="center" wrapText="1"/>
    </xf>
    <xf numFmtId="0" fontId="5" fillId="0" borderId="14" xfId="0" applyFont="1" applyBorder="1" applyAlignment="1" applyProtection="1">
      <alignment horizontal="center" vertical="center"/>
    </xf>
    <xf numFmtId="176" fontId="1" fillId="0" borderId="14" xfId="0" applyNumberFormat="1" applyFont="1" applyBorder="1" applyAlignment="1" applyProtection="1">
      <alignment vertical="center"/>
    </xf>
    <xf numFmtId="0" fontId="1" fillId="0" borderId="29" xfId="0" applyFont="1" applyBorder="1" applyAlignment="1" applyProtection="1">
      <alignment vertical="center"/>
    </xf>
    <xf numFmtId="0" fontId="5" fillId="0" borderId="5" xfId="0" applyFont="1" applyBorder="1" applyAlignment="1" applyProtection="1">
      <alignment horizontal="center" vertical="center"/>
    </xf>
    <xf numFmtId="176" fontId="1" fillId="0" borderId="5" xfId="0" applyNumberFormat="1" applyFont="1" applyBorder="1" applyAlignment="1" applyProtection="1">
      <alignment vertical="center"/>
    </xf>
    <xf numFmtId="176" fontId="1" fillId="0" borderId="0" xfId="0" applyNumberFormat="1" applyFont="1" applyFill="1" applyBorder="1" applyAlignment="1" applyProtection="1">
      <alignment horizontal="left" vertical="center"/>
    </xf>
    <xf numFmtId="3" fontId="1" fillId="0" borderId="5" xfId="0" applyNumberFormat="1"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3" fontId="1" fillId="0" borderId="0" xfId="0" applyNumberFormat="1" applyFont="1" applyBorder="1" applyAlignment="1" applyProtection="1">
      <alignment horizontal="center" vertical="center"/>
    </xf>
    <xf numFmtId="0" fontId="1" fillId="0" borderId="21" xfId="0" applyFont="1" applyBorder="1" applyAlignment="1" applyProtection="1">
      <alignment vertical="center"/>
    </xf>
    <xf numFmtId="0" fontId="5" fillId="0" borderId="0" xfId="0" applyFont="1" applyBorder="1" applyAlignment="1" applyProtection="1">
      <alignment horizontal="right" vertical="center"/>
    </xf>
    <xf numFmtId="176" fontId="1" fillId="0" borderId="25" xfId="0" applyNumberFormat="1" applyFont="1" applyBorder="1" applyAlignment="1" applyProtection="1">
      <alignment horizontal="left" vertical="center"/>
    </xf>
    <xf numFmtId="1" fontId="1" fillId="0" borderId="30" xfId="0" applyNumberFormat="1" applyFont="1" applyBorder="1" applyAlignment="1" applyProtection="1">
      <alignment vertical="center"/>
    </xf>
    <xf numFmtId="176" fontId="1" fillId="0" borderId="3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1" fontId="7" fillId="0" borderId="19" xfId="0" applyNumberFormat="1" applyFont="1" applyFill="1" applyBorder="1" applyAlignment="1" applyProtection="1">
      <alignment vertical="center"/>
    </xf>
    <xf numFmtId="178" fontId="1" fillId="0" borderId="0" xfId="0" applyNumberFormat="1" applyFont="1" applyBorder="1" applyAlignment="1" applyProtection="1">
      <alignment vertical="center"/>
    </xf>
    <xf numFmtId="1" fontId="1" fillId="0" borderId="23" xfId="0" applyNumberFormat="1" applyFont="1" applyFill="1" applyBorder="1" applyAlignment="1" applyProtection="1">
      <alignment vertical="center"/>
    </xf>
    <xf numFmtId="0" fontId="1" fillId="0" borderId="31" xfId="0" applyFont="1" applyBorder="1" applyAlignment="1" applyProtection="1">
      <alignment vertical="center"/>
    </xf>
    <xf numFmtId="1" fontId="5" fillId="0" borderId="0" xfId="0" applyNumberFormat="1" applyFont="1" applyBorder="1" applyAlignment="1" applyProtection="1">
      <alignment vertical="center"/>
    </xf>
    <xf numFmtId="176" fontId="1" fillId="0" borderId="12" xfId="0" applyNumberFormat="1" applyFont="1" applyBorder="1" applyAlignment="1" applyProtection="1">
      <alignment vertical="center"/>
    </xf>
    <xf numFmtId="1" fontId="5" fillId="0" borderId="12" xfId="0" applyNumberFormat="1" applyFont="1" applyBorder="1" applyAlignment="1" applyProtection="1">
      <alignment vertical="center"/>
    </xf>
    <xf numFmtId="3" fontId="5" fillId="0" borderId="9" xfId="0" applyNumberFormat="1" applyFont="1" applyBorder="1" applyAlignment="1" applyProtection="1">
      <alignment vertical="center"/>
    </xf>
    <xf numFmtId="176" fontId="1" fillId="0" borderId="9" xfId="0" applyNumberFormat="1" applyFont="1" applyBorder="1" applyAlignment="1" applyProtection="1">
      <alignment vertical="center"/>
    </xf>
    <xf numFmtId="1" fontId="5" fillId="0" borderId="9" xfId="0" applyNumberFormat="1" applyFont="1" applyBorder="1" applyAlignment="1" applyProtection="1">
      <alignment vertical="center"/>
    </xf>
    <xf numFmtId="0" fontId="1" fillId="0" borderId="32" xfId="0" applyFont="1" applyBorder="1" applyAlignment="1" applyProtection="1">
      <alignment vertical="center"/>
    </xf>
    <xf numFmtId="3" fontId="5" fillId="0" borderId="12" xfId="0" applyNumberFormat="1" applyFont="1" applyBorder="1" applyAlignment="1" applyProtection="1">
      <alignment horizontal="center" vertical="center"/>
    </xf>
    <xf numFmtId="176" fontId="5" fillId="0" borderId="0" xfId="0" applyNumberFormat="1" applyFont="1" applyBorder="1" applyAlignment="1" applyProtection="1">
      <alignment horizontal="centerContinuous" vertical="center"/>
    </xf>
    <xf numFmtId="0" fontId="5" fillId="0" borderId="0" xfId="0" applyFont="1" applyBorder="1" applyAlignment="1" applyProtection="1">
      <alignment horizontal="centerContinuous" vertical="center"/>
    </xf>
    <xf numFmtId="0" fontId="1" fillId="0" borderId="21" xfId="0" applyFont="1" applyBorder="1" applyAlignment="1" applyProtection="1">
      <alignment horizontal="centerContinuous" vertical="center"/>
    </xf>
    <xf numFmtId="179" fontId="5" fillId="0" borderId="0" xfId="0" applyNumberFormat="1" applyFont="1" applyBorder="1" applyAlignment="1" applyProtection="1">
      <alignment horizontal="right" vertical="center"/>
    </xf>
    <xf numFmtId="179" fontId="1" fillId="0" borderId="0" xfId="0" applyNumberFormat="1" applyFont="1" applyBorder="1" applyAlignment="1" applyProtection="1">
      <alignment vertical="center"/>
    </xf>
    <xf numFmtId="179" fontId="5" fillId="0" borderId="12" xfId="0" applyNumberFormat="1" applyFont="1" applyBorder="1" applyAlignment="1" applyProtection="1">
      <alignment horizontal="right" vertical="center"/>
    </xf>
    <xf numFmtId="179" fontId="1" fillId="0" borderId="12" xfId="0" applyNumberFormat="1" applyFont="1" applyBorder="1" applyAlignment="1" applyProtection="1">
      <alignment vertical="center"/>
    </xf>
    <xf numFmtId="0" fontId="1" fillId="0" borderId="31" xfId="0" applyFont="1" applyBorder="1" applyAlignment="1" applyProtection="1">
      <alignment horizontal="left" vertical="center"/>
    </xf>
    <xf numFmtId="179" fontId="5" fillId="0" borderId="9" xfId="0" applyNumberFormat="1" applyFont="1" applyBorder="1" applyAlignment="1" applyProtection="1">
      <alignment horizontal="centerContinuous" vertical="center"/>
    </xf>
    <xf numFmtId="179" fontId="1" fillId="0" borderId="9" xfId="0" applyNumberFormat="1" applyFont="1" applyBorder="1" applyAlignment="1" applyProtection="1">
      <alignment horizontal="centerContinuous" vertical="center"/>
    </xf>
    <xf numFmtId="0" fontId="1" fillId="0" borderId="32" xfId="0" applyFont="1" applyBorder="1" applyAlignment="1" applyProtection="1">
      <alignment horizontal="centerContinuous" vertical="center"/>
    </xf>
    <xf numFmtId="0" fontId="1" fillId="0" borderId="33" xfId="0" applyFont="1" applyBorder="1" applyAlignment="1" applyProtection="1">
      <alignment horizontal="center" vertical="center"/>
    </xf>
    <xf numFmtId="0" fontId="1" fillId="0" borderId="20" xfId="0" applyFont="1" applyBorder="1" applyAlignment="1" applyProtection="1">
      <alignment vertical="center"/>
    </xf>
    <xf numFmtId="176" fontId="1" fillId="0" borderId="34" xfId="0" applyNumberFormat="1" applyFont="1" applyBorder="1" applyAlignment="1" applyProtection="1">
      <alignment horizontal="center" vertical="center"/>
    </xf>
    <xf numFmtId="1" fontId="1" fillId="0" borderId="0" xfId="0" applyNumberFormat="1" applyFont="1" applyBorder="1" applyAlignment="1" applyProtection="1">
      <alignment vertical="center"/>
    </xf>
    <xf numFmtId="0" fontId="1" fillId="0" borderId="25" xfId="0" applyFont="1" applyBorder="1" applyAlignment="1" applyProtection="1">
      <alignment vertical="center"/>
    </xf>
    <xf numFmtId="176" fontId="1" fillId="0" borderId="35" xfId="0" applyNumberFormat="1" applyFont="1" applyBorder="1" applyAlignment="1" applyProtection="1">
      <alignment horizontal="center" vertical="center"/>
    </xf>
    <xf numFmtId="1" fontId="7" fillId="0" borderId="23" xfId="0" applyNumberFormat="1" applyFont="1" applyBorder="1" applyAlignment="1" applyProtection="1">
      <alignment vertical="center"/>
    </xf>
    <xf numFmtId="0" fontId="1" fillId="0" borderId="34" xfId="0" applyFont="1" applyBorder="1" applyAlignment="1" applyProtection="1">
      <alignment horizontal="center" vertical="center"/>
    </xf>
    <xf numFmtId="3" fontId="1" fillId="0" borderId="34" xfId="0" applyNumberFormat="1" applyFont="1" applyBorder="1" applyAlignment="1" applyProtection="1">
      <alignment horizontal="center" vertical="center"/>
    </xf>
    <xf numFmtId="2" fontId="1" fillId="0" borderId="34" xfId="0" applyNumberFormat="1" applyFont="1" applyBorder="1" applyAlignment="1" applyProtection="1">
      <alignment horizontal="center" vertical="center"/>
    </xf>
    <xf numFmtId="0" fontId="1" fillId="0" borderId="0" xfId="0" applyFont="1" applyFill="1" applyBorder="1" applyAlignment="1" applyProtection="1">
      <alignment vertical="center"/>
    </xf>
    <xf numFmtId="177" fontId="1" fillId="0" borderId="35" xfId="0" applyNumberFormat="1" applyFont="1" applyBorder="1" applyAlignment="1" applyProtection="1">
      <alignment horizontal="center" vertical="center"/>
    </xf>
    <xf numFmtId="177" fontId="1" fillId="0" borderId="30" xfId="0" applyNumberFormat="1" applyFont="1" applyBorder="1" applyAlignment="1" applyProtection="1">
      <alignment horizontal="center" vertical="center"/>
    </xf>
    <xf numFmtId="1" fontId="1" fillId="0" borderId="23" xfId="0" applyNumberFormat="1" applyFont="1" applyBorder="1" applyAlignment="1" applyProtection="1">
      <alignment horizontal="right" vertical="center"/>
    </xf>
    <xf numFmtId="178" fontId="1" fillId="0" borderId="34" xfId="0" applyNumberFormat="1" applyFont="1" applyBorder="1" applyAlignment="1" applyProtection="1">
      <alignment horizontal="center" vertical="center"/>
    </xf>
    <xf numFmtId="1" fontId="1" fillId="0" borderId="34" xfId="0" applyNumberFormat="1" applyFont="1" applyBorder="1" applyAlignment="1" applyProtection="1">
      <alignment horizontal="center" vertical="center"/>
    </xf>
    <xf numFmtId="0" fontId="1" fillId="0" borderId="35" xfId="0" applyFont="1" applyBorder="1" applyAlignment="1" applyProtection="1">
      <alignment horizontal="center" vertical="center"/>
    </xf>
    <xf numFmtId="177" fontId="1" fillId="0" borderId="34" xfId="0" applyNumberFormat="1" applyFont="1" applyBorder="1" applyAlignment="1" applyProtection="1">
      <alignment horizontal="center" vertical="center"/>
    </xf>
    <xf numFmtId="0" fontId="7" fillId="0" borderId="19" xfId="0" applyFont="1" applyBorder="1" applyAlignment="1" applyProtection="1">
      <alignment horizontal="left" vertical="center"/>
    </xf>
    <xf numFmtId="0" fontId="1" fillId="0" borderId="33" xfId="0" applyFont="1" applyBorder="1" applyAlignment="1" applyProtection="1">
      <alignment vertical="center"/>
    </xf>
    <xf numFmtId="0" fontId="1" fillId="0" borderId="23" xfId="0" applyFont="1" applyBorder="1" applyAlignment="1" applyProtection="1">
      <alignment horizontal="center" vertical="center"/>
    </xf>
    <xf numFmtId="0" fontId="1" fillId="0" borderId="34" xfId="0" applyFont="1" applyBorder="1" applyAlignment="1" applyProtection="1">
      <alignment vertical="center"/>
    </xf>
    <xf numFmtId="0" fontId="5" fillId="0" borderId="23" xfId="0" applyFont="1" applyBorder="1" applyAlignment="1" applyProtection="1">
      <alignment horizontal="left" vertical="center"/>
    </xf>
    <xf numFmtId="0" fontId="1" fillId="0" borderId="23" xfId="0" applyFont="1" applyBorder="1" applyAlignment="1" applyProtection="1">
      <alignment vertical="center" wrapText="1"/>
    </xf>
    <xf numFmtId="0" fontId="1" fillId="0" borderId="34"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35" xfId="0" applyFont="1" applyBorder="1" applyAlignment="1">
      <alignment vertical="center"/>
    </xf>
    <xf numFmtId="0" fontId="1" fillId="0" borderId="0" xfId="0" applyFont="1"/>
    <xf numFmtId="0" fontId="10" fillId="0" borderId="14" xfId="0" applyFont="1" applyBorder="1" applyAlignment="1" applyProtection="1">
      <alignment horizontal="center" vertical="center"/>
    </xf>
    <xf numFmtId="176" fontId="5" fillId="0" borderId="14" xfId="0" applyNumberFormat="1" applyFont="1" applyBorder="1" applyAlignment="1" applyProtection="1">
      <alignment horizontal="center" vertical="center"/>
    </xf>
    <xf numFmtId="0" fontId="1" fillId="0" borderId="14" xfId="0" applyFont="1" applyBorder="1" applyAlignment="1" applyProtection="1">
      <alignment horizontal="left" vertical="center"/>
    </xf>
    <xf numFmtId="0" fontId="5" fillId="0" borderId="0" xfId="0" applyFont="1" applyBorder="1" applyAlignment="1" applyProtection="1">
      <alignment horizontal="left" vertical="center"/>
    </xf>
    <xf numFmtId="0" fontId="10" fillId="0" borderId="0" xfId="0" applyFont="1" applyBorder="1" applyAlignment="1" applyProtection="1">
      <alignment horizontal="center" vertical="center"/>
    </xf>
    <xf numFmtId="0" fontId="5" fillId="0" borderId="0" xfId="0" applyFont="1" applyAlignment="1" applyProtection="1">
      <alignment horizontal="left" vertical="center"/>
    </xf>
    <xf numFmtId="0" fontId="7" fillId="0" borderId="4" xfId="0" applyFont="1" applyBorder="1" applyAlignment="1" applyProtection="1">
      <alignment horizontal="center" vertical="center"/>
    </xf>
    <xf numFmtId="0" fontId="7" fillId="0" borderId="6" xfId="0" applyFont="1" applyBorder="1" applyAlignment="1" applyProtection="1">
      <alignment horizontal="center" vertical="center"/>
    </xf>
    <xf numFmtId="0" fontId="1" fillId="0" borderId="6" xfId="0" applyFont="1" applyBorder="1" applyAlignment="1" applyProtection="1">
      <alignment horizontal="center" vertical="center"/>
    </xf>
    <xf numFmtId="0" fontId="5" fillId="0" borderId="0" xfId="0" applyFont="1" applyAlignment="1" applyProtection="1">
      <alignment horizontal="center" vertical="center"/>
    </xf>
    <xf numFmtId="0" fontId="1" fillId="0" borderId="0" xfId="0" applyFont="1" applyBorder="1" applyAlignment="1" applyProtection="1">
      <alignment horizontal="right" vertical="center"/>
    </xf>
    <xf numFmtId="0" fontId="1" fillId="0" borderId="25" xfId="0" applyFont="1" applyBorder="1" applyAlignment="1" applyProtection="1">
      <alignment horizontal="left" vertical="center"/>
    </xf>
    <xf numFmtId="0" fontId="5" fillId="0" borderId="0" xfId="0" applyFont="1" applyBorder="1" applyAlignment="1" applyProtection="1">
      <alignment horizontal="center" vertical="center" wrapText="1"/>
    </xf>
    <xf numFmtId="0" fontId="5" fillId="0" borderId="22" xfId="0" applyFont="1" applyBorder="1" applyAlignment="1" applyProtection="1">
      <alignment horizontal="center" vertical="center"/>
    </xf>
    <xf numFmtId="1" fontId="5" fillId="0" borderId="22" xfId="0" applyNumberFormat="1" applyFont="1" applyBorder="1" applyAlignment="1" applyProtection="1">
      <alignment horizontal="center" vertical="center"/>
    </xf>
    <xf numFmtId="1" fontId="5" fillId="0" borderId="0" xfId="0" applyNumberFormat="1" applyFont="1" applyBorder="1" applyAlignment="1" applyProtection="1">
      <alignment horizontal="center" vertical="center"/>
    </xf>
    <xf numFmtId="1" fontId="1" fillId="0" borderId="0" xfId="0" applyNumberFormat="1" applyFont="1" applyBorder="1" applyAlignment="1" applyProtection="1">
      <alignment horizontal="center" vertical="center"/>
    </xf>
    <xf numFmtId="176" fontId="5" fillId="0" borderId="22" xfId="0" applyNumberFormat="1" applyFont="1" applyBorder="1" applyAlignment="1" applyProtection="1">
      <alignment horizontal="center" vertical="center"/>
    </xf>
    <xf numFmtId="0" fontId="5" fillId="0" borderId="0" xfId="0" applyFont="1" applyAlignment="1" applyProtection="1">
      <alignment vertical="center"/>
    </xf>
    <xf numFmtId="38" fontId="5" fillId="0" borderId="22" xfId="0" applyNumberFormat="1" applyFont="1" applyBorder="1" applyAlignment="1" applyProtection="1">
      <alignment horizontal="center" vertical="center"/>
    </xf>
    <xf numFmtId="3" fontId="5" fillId="0" borderId="22" xfId="0" applyNumberFormat="1" applyFont="1" applyBorder="1" applyAlignment="1" applyProtection="1">
      <alignment horizontal="center" vertical="center"/>
    </xf>
    <xf numFmtId="38" fontId="5" fillId="0" borderId="36" xfId="0" applyNumberFormat="1" applyFont="1" applyBorder="1" applyAlignment="1" applyProtection="1">
      <alignment horizontal="center" vertical="center"/>
    </xf>
    <xf numFmtId="38" fontId="5" fillId="0" borderId="5" xfId="0" applyNumberFormat="1" applyFont="1" applyBorder="1" applyAlignment="1" applyProtection="1">
      <alignment horizontal="center" vertical="center"/>
    </xf>
    <xf numFmtId="38" fontId="5" fillId="0" borderId="0" xfId="0" applyNumberFormat="1" applyFont="1" applyBorder="1" applyAlignment="1" applyProtection="1">
      <alignment horizontal="center" vertical="center"/>
    </xf>
    <xf numFmtId="0" fontId="1" fillId="0" borderId="0" xfId="0" applyNumberFormat="1" applyFont="1" applyAlignment="1" applyProtection="1">
      <alignment horizontal="center" vertical="center"/>
    </xf>
    <xf numFmtId="0" fontId="7" fillId="0" borderId="0" xfId="0" applyFont="1" applyBorder="1" applyAlignment="1" applyProtection="1">
      <alignment vertical="center"/>
    </xf>
    <xf numFmtId="0" fontId="5" fillId="0" borderId="37" xfId="0" applyFont="1" applyBorder="1" applyAlignment="1" applyProtection="1">
      <alignment horizontal="center" vertical="center"/>
    </xf>
    <xf numFmtId="20" fontId="1" fillId="0" borderId="38" xfId="0" applyNumberFormat="1" applyFont="1" applyBorder="1" applyAlignment="1" applyProtection="1">
      <alignment vertical="center"/>
    </xf>
    <xf numFmtId="0" fontId="1" fillId="0" borderId="39"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41" xfId="0" applyFont="1" applyBorder="1" applyAlignment="1" applyProtection="1">
      <alignment horizontal="center" vertical="center"/>
    </xf>
    <xf numFmtId="0" fontId="1" fillId="0" borderId="42" xfId="0" applyFont="1" applyBorder="1" applyAlignment="1" applyProtection="1">
      <alignment vertical="center"/>
    </xf>
    <xf numFmtId="0" fontId="1" fillId="0" borderId="43"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45" xfId="0" applyFont="1" applyBorder="1" applyAlignment="1" applyProtection="1">
      <alignment horizontal="center" vertical="center"/>
    </xf>
    <xf numFmtId="20" fontId="1" fillId="0" borderId="0" xfId="0" applyNumberFormat="1" applyFont="1" applyBorder="1" applyAlignment="1" applyProtection="1">
      <alignment horizontal="center" vertical="center"/>
    </xf>
    <xf numFmtId="0" fontId="1" fillId="0" borderId="46" xfId="0" applyFont="1" applyBorder="1" applyAlignment="1" applyProtection="1">
      <alignment horizontal="center" vertical="center"/>
    </xf>
    <xf numFmtId="0" fontId="1" fillId="0" borderId="47" xfId="0" applyFont="1" applyBorder="1" applyAlignment="1" applyProtection="1">
      <alignment horizontal="center" vertical="center"/>
    </xf>
    <xf numFmtId="20" fontId="1" fillId="0" borderId="42" xfId="0" applyNumberFormat="1" applyFont="1" applyBorder="1" applyAlignment="1" applyProtection="1">
      <alignment vertical="center"/>
    </xf>
    <xf numFmtId="20" fontId="1" fillId="0" borderId="48" xfId="0" applyNumberFormat="1" applyFont="1" applyBorder="1" applyAlignment="1" applyProtection="1">
      <alignment vertical="center"/>
    </xf>
    <xf numFmtId="0" fontId="1" fillId="0" borderId="49" xfId="0" applyFont="1" applyBorder="1" applyAlignment="1" applyProtection="1">
      <alignment horizontal="center" vertical="center"/>
    </xf>
    <xf numFmtId="0" fontId="1" fillId="0" borderId="13" xfId="0" applyFont="1" applyBorder="1" applyAlignment="1" applyProtection="1">
      <alignment horizontal="center" vertical="center"/>
    </xf>
    <xf numFmtId="20" fontId="1" fillId="0" borderId="14" xfId="0" applyNumberFormat="1" applyFont="1" applyBorder="1" applyAlignment="1" applyProtection="1">
      <alignment horizontal="center" vertical="center"/>
    </xf>
    <xf numFmtId="0" fontId="5" fillId="0" borderId="50" xfId="0" applyFont="1" applyBorder="1" applyAlignment="1" applyProtection="1">
      <alignment vertical="center"/>
    </xf>
    <xf numFmtId="0" fontId="1" fillId="0" borderId="30" xfId="0" applyFont="1" applyBorder="1" applyAlignment="1" applyProtection="1">
      <alignment vertical="center"/>
    </xf>
    <xf numFmtId="0" fontId="1" fillId="0" borderId="51" xfId="0" applyFont="1" applyBorder="1" applyAlignment="1" applyProtection="1">
      <alignment horizontal="center" vertical="center"/>
    </xf>
    <xf numFmtId="0" fontId="1" fillId="0" borderId="52" xfId="0" applyFont="1" applyBorder="1" applyAlignment="1" applyProtection="1">
      <alignment vertical="center"/>
    </xf>
    <xf numFmtId="0" fontId="1" fillId="0" borderId="53" xfId="0" applyFont="1" applyBorder="1" applyAlignment="1" applyProtection="1">
      <alignment vertical="center"/>
    </xf>
    <xf numFmtId="0" fontId="1" fillId="0" borderId="54" xfId="0" applyFont="1" applyBorder="1" applyAlignment="1" applyProtection="1">
      <alignment vertical="center"/>
    </xf>
    <xf numFmtId="0" fontId="1" fillId="0" borderId="55" xfId="0" applyFont="1" applyBorder="1" applyAlignment="1" applyProtection="1">
      <alignment vertical="center"/>
    </xf>
    <xf numFmtId="1" fontId="1" fillId="0" borderId="0" xfId="0" applyNumberFormat="1" applyFont="1" applyBorder="1" applyAlignment="1" applyProtection="1">
      <alignment horizontal="right" vertical="center"/>
    </xf>
    <xf numFmtId="176" fontId="1" fillId="0" borderId="0" xfId="0" applyNumberFormat="1" applyFont="1" applyBorder="1" applyAlignment="1" applyProtection="1">
      <alignment horizontal="right" vertical="center"/>
    </xf>
    <xf numFmtId="20" fontId="1" fillId="0" borderId="38" xfId="0" applyNumberFormat="1" applyFont="1" applyBorder="1" applyAlignment="1" applyProtection="1" quotePrefix="1">
      <alignment vertical="center"/>
    </xf>
    <xf numFmtId="0" fontId="1" fillId="0" borderId="42" xfId="0" applyFont="1" applyBorder="1" applyAlignment="1" applyProtection="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3"/>
  <sheetViews>
    <sheetView tabSelected="1" zoomScale="70" zoomScaleNormal="70" workbookViewId="0">
      <selection activeCell="G150" sqref="G150"/>
    </sheetView>
  </sheetViews>
  <sheetFormatPr defaultColWidth="9" defaultRowHeight="16.5"/>
  <cols>
    <col min="1" max="1" width="3.75" style="1" customWidth="1"/>
    <col min="2" max="2" width="25.8833333333333" style="2" customWidth="1"/>
    <col min="3" max="3" width="13.75" style="2" customWidth="1"/>
    <col min="4" max="4" width="21.0666666666667" style="1" customWidth="1"/>
    <col min="5" max="5" width="18.5666666666667" style="2" customWidth="1"/>
    <col min="6" max="6" width="12.5833333333333" style="2" customWidth="1"/>
    <col min="7" max="9" width="12.5833333333333" style="1" customWidth="1"/>
    <col min="10" max="11" width="13.75" style="1" customWidth="1"/>
    <col min="12" max="12" width="41.425" style="1" customWidth="1"/>
    <col min="13" max="13" width="13.75" style="1" customWidth="1"/>
    <col min="14" max="14" width="5.875" style="1" customWidth="1"/>
    <col min="15" max="15" width="5.875" style="3" customWidth="1"/>
    <col min="16" max="16" width="30.375" style="4" customWidth="1"/>
    <col min="17" max="17" width="17.25" style="2" customWidth="1"/>
    <col min="18" max="18" width="5.875" style="5" customWidth="1"/>
    <col min="19" max="19" width="5.875" style="6" customWidth="1"/>
    <col min="20" max="20" width="30.375" style="1" customWidth="1"/>
    <col min="21" max="21" width="17.25" style="1" customWidth="1"/>
    <col min="22" max="22" width="5.875" style="1" customWidth="1"/>
    <col min="23" max="23" width="5.875" style="3" customWidth="1"/>
    <col min="24" max="24" width="30.375" style="1" customWidth="1"/>
    <col min="25" max="25" width="17.25" style="1" customWidth="1"/>
    <col min="26" max="27" width="5.875" style="1" customWidth="1"/>
    <col min="28" max="28" width="49.125" style="1" customWidth="1"/>
    <col min="29" max="29" width="8.375" style="1" customWidth="1"/>
    <col min="30" max="30" width="12.375" style="1" customWidth="1"/>
    <col min="31" max="31" width="14.375" style="2" customWidth="1"/>
    <col min="32" max="32" width="5.875" style="1" customWidth="1"/>
    <col min="33" max="33" width="8.375" style="1" customWidth="1"/>
    <col min="34" max="34" width="5.875" style="1" customWidth="1"/>
    <col min="35" max="35" width="11.125" style="1" customWidth="1"/>
    <col min="36" max="40" width="5.875" style="1" customWidth="1"/>
    <col min="41" max="41" width="8.875" style="1" customWidth="1"/>
    <col min="42" max="42" width="8.625" style="1" customWidth="1"/>
    <col min="43" max="43" width="10.625" style="1" customWidth="1"/>
    <col min="44" max="44" width="5.875" style="1" customWidth="1"/>
    <col min="45" max="45" width="7.875" style="1" customWidth="1"/>
    <col min="46" max="46" width="5.875" style="1" customWidth="1"/>
    <col min="47" max="47" width="8.125" style="1" customWidth="1"/>
    <col min="48" max="52" width="5.875" style="1" customWidth="1"/>
    <col min="53" max="256" width="9" style="1"/>
    <col min="257" max="257" width="3.75" style="1" customWidth="1"/>
    <col min="258" max="258" width="35.625" style="1" customWidth="1"/>
    <col min="259" max="260" width="13.75" style="1" customWidth="1"/>
    <col min="261" max="261" width="29.5" style="1" customWidth="1"/>
    <col min="262" max="262" width="13.75" style="1" customWidth="1"/>
    <col min="263" max="263" width="17.375" style="1" customWidth="1"/>
    <col min="264" max="264" width="16.125" style="1" customWidth="1"/>
    <col min="265" max="267" width="13.75" style="1" customWidth="1"/>
    <col min="268" max="268" width="18.25" style="1" customWidth="1"/>
    <col min="269" max="269" width="13.75" style="1" customWidth="1"/>
    <col min="270" max="271" width="5.875" style="1" customWidth="1"/>
    <col min="272" max="272" width="30.375" style="1" customWidth="1"/>
    <col min="273" max="273" width="17.25" style="1" customWidth="1"/>
    <col min="274" max="275" width="5.875" style="1" customWidth="1"/>
    <col min="276" max="276" width="30.375" style="1" customWidth="1"/>
    <col min="277" max="277" width="17.25" style="1" customWidth="1"/>
    <col min="278" max="279" width="5.875" style="1" customWidth="1"/>
    <col min="280" max="280" width="30.375" style="1" customWidth="1"/>
    <col min="281" max="281" width="17.25" style="1" customWidth="1"/>
    <col min="282" max="283" width="5.875" style="1" customWidth="1"/>
    <col min="284" max="284" width="49.125" style="1" customWidth="1"/>
    <col min="285" max="285" width="8.375" style="1" customWidth="1"/>
    <col min="286" max="286" width="12.375" style="1" customWidth="1"/>
    <col min="287" max="287" width="14.375" style="1" customWidth="1"/>
    <col min="288" max="288" width="5.875" style="1" customWidth="1"/>
    <col min="289" max="289" width="8.375" style="1" customWidth="1"/>
    <col min="290" max="290" width="5.875" style="1" customWidth="1"/>
    <col min="291" max="291" width="11.125" style="1" customWidth="1"/>
    <col min="292" max="296" width="5.875" style="1" customWidth="1"/>
    <col min="297" max="297" width="8.875" style="1" customWidth="1"/>
    <col min="298" max="298" width="8.625" style="1" customWidth="1"/>
    <col min="299" max="299" width="10.625" style="1" customWidth="1"/>
    <col min="300" max="300" width="5.875" style="1" customWidth="1"/>
    <col min="301" max="301" width="7.875" style="1" customWidth="1"/>
    <col min="302" max="302" width="5.875" style="1" customWidth="1"/>
    <col min="303" max="303" width="8.125" style="1" customWidth="1"/>
    <col min="304" max="308" width="5.875" style="1" customWidth="1"/>
    <col min="309" max="512" width="9" style="1"/>
    <col min="513" max="513" width="3.75" style="1" customWidth="1"/>
    <col min="514" max="514" width="35.625" style="1" customWidth="1"/>
    <col min="515" max="516" width="13.75" style="1" customWidth="1"/>
    <col min="517" max="517" width="29.5" style="1" customWidth="1"/>
    <col min="518" max="518" width="13.75" style="1" customWidth="1"/>
    <col min="519" max="519" width="17.375" style="1" customWidth="1"/>
    <col min="520" max="520" width="16.125" style="1" customWidth="1"/>
    <col min="521" max="523" width="13.75" style="1" customWidth="1"/>
    <col min="524" max="524" width="18.25" style="1" customWidth="1"/>
    <col min="525" max="525" width="13.75" style="1" customWidth="1"/>
    <col min="526" max="527" width="5.875" style="1" customWidth="1"/>
    <col min="528" max="528" width="30.375" style="1" customWidth="1"/>
    <col min="529" max="529" width="17.25" style="1" customWidth="1"/>
    <col min="530" max="531" width="5.875" style="1" customWidth="1"/>
    <col min="532" max="532" width="30.375" style="1" customWidth="1"/>
    <col min="533" max="533" width="17.25" style="1" customWidth="1"/>
    <col min="534" max="535" width="5.875" style="1" customWidth="1"/>
    <col min="536" max="536" width="30.375" style="1" customWidth="1"/>
    <col min="537" max="537" width="17.25" style="1" customWidth="1"/>
    <col min="538" max="539" width="5.875" style="1" customWidth="1"/>
    <col min="540" max="540" width="49.125" style="1" customWidth="1"/>
    <col min="541" max="541" width="8.375" style="1" customWidth="1"/>
    <col min="542" max="542" width="12.375" style="1" customWidth="1"/>
    <col min="543" max="543" width="14.375" style="1" customWidth="1"/>
    <col min="544" max="544" width="5.875" style="1" customWidth="1"/>
    <col min="545" max="545" width="8.375" style="1" customWidth="1"/>
    <col min="546" max="546" width="5.875" style="1" customWidth="1"/>
    <col min="547" max="547" width="11.125" style="1" customWidth="1"/>
    <col min="548" max="552" width="5.875" style="1" customWidth="1"/>
    <col min="553" max="553" width="8.875" style="1" customWidth="1"/>
    <col min="554" max="554" width="8.625" style="1" customWidth="1"/>
    <col min="555" max="555" width="10.625" style="1" customWidth="1"/>
    <col min="556" max="556" width="5.875" style="1" customWidth="1"/>
    <col min="557" max="557" width="7.875" style="1" customWidth="1"/>
    <col min="558" max="558" width="5.875" style="1" customWidth="1"/>
    <col min="559" max="559" width="8.125" style="1" customWidth="1"/>
    <col min="560" max="564" width="5.875" style="1" customWidth="1"/>
    <col min="565" max="768" width="9" style="1"/>
    <col min="769" max="769" width="3.75" style="1" customWidth="1"/>
    <col min="770" max="770" width="35.625" style="1" customWidth="1"/>
    <col min="771" max="772" width="13.75" style="1" customWidth="1"/>
    <col min="773" max="773" width="29.5" style="1" customWidth="1"/>
    <col min="774" max="774" width="13.75" style="1" customWidth="1"/>
    <col min="775" max="775" width="17.375" style="1" customWidth="1"/>
    <col min="776" max="776" width="16.125" style="1" customWidth="1"/>
    <col min="777" max="779" width="13.75" style="1" customWidth="1"/>
    <col min="780" max="780" width="18.25" style="1" customWidth="1"/>
    <col min="781" max="781" width="13.75" style="1" customWidth="1"/>
    <col min="782" max="783" width="5.875" style="1" customWidth="1"/>
    <col min="784" max="784" width="30.375" style="1" customWidth="1"/>
    <col min="785" max="785" width="17.25" style="1" customWidth="1"/>
    <col min="786" max="787" width="5.875" style="1" customWidth="1"/>
    <col min="788" max="788" width="30.375" style="1" customWidth="1"/>
    <col min="789" max="789" width="17.25" style="1" customWidth="1"/>
    <col min="790" max="791" width="5.875" style="1" customWidth="1"/>
    <col min="792" max="792" width="30.375" style="1" customWidth="1"/>
    <col min="793" max="793" width="17.25" style="1" customWidth="1"/>
    <col min="794" max="795" width="5.875" style="1" customWidth="1"/>
    <col min="796" max="796" width="49.125" style="1" customWidth="1"/>
    <col min="797" max="797" width="8.375" style="1" customWidth="1"/>
    <col min="798" max="798" width="12.375" style="1" customWidth="1"/>
    <col min="799" max="799" width="14.375" style="1" customWidth="1"/>
    <col min="800" max="800" width="5.875" style="1" customWidth="1"/>
    <col min="801" max="801" width="8.375" style="1" customWidth="1"/>
    <col min="802" max="802" width="5.875" style="1" customWidth="1"/>
    <col min="803" max="803" width="11.125" style="1" customWidth="1"/>
    <col min="804" max="808" width="5.875" style="1" customWidth="1"/>
    <col min="809" max="809" width="8.875" style="1" customWidth="1"/>
    <col min="810" max="810" width="8.625" style="1" customWidth="1"/>
    <col min="811" max="811" width="10.625" style="1" customWidth="1"/>
    <col min="812" max="812" width="5.875" style="1" customWidth="1"/>
    <col min="813" max="813" width="7.875" style="1" customWidth="1"/>
    <col min="814" max="814" width="5.875" style="1" customWidth="1"/>
    <col min="815" max="815" width="8.125" style="1" customWidth="1"/>
    <col min="816" max="820" width="5.875" style="1" customWidth="1"/>
    <col min="821" max="1024" width="9" style="1"/>
    <col min="1025" max="1025" width="3.75" style="1" customWidth="1"/>
    <col min="1026" max="1026" width="35.625" style="1" customWidth="1"/>
    <col min="1027" max="1028" width="13.75" style="1" customWidth="1"/>
    <col min="1029" max="1029" width="29.5" style="1" customWidth="1"/>
    <col min="1030" max="1030" width="13.75" style="1" customWidth="1"/>
    <col min="1031" max="1031" width="17.375" style="1" customWidth="1"/>
    <col min="1032" max="1032" width="16.125" style="1" customWidth="1"/>
    <col min="1033" max="1035" width="13.75" style="1" customWidth="1"/>
    <col min="1036" max="1036" width="18.25" style="1" customWidth="1"/>
    <col min="1037" max="1037" width="13.75" style="1" customWidth="1"/>
    <col min="1038" max="1039" width="5.875" style="1" customWidth="1"/>
    <col min="1040" max="1040" width="30.375" style="1" customWidth="1"/>
    <col min="1041" max="1041" width="17.25" style="1" customWidth="1"/>
    <col min="1042" max="1043" width="5.875" style="1" customWidth="1"/>
    <col min="1044" max="1044" width="30.375" style="1" customWidth="1"/>
    <col min="1045" max="1045" width="17.25" style="1" customWidth="1"/>
    <col min="1046" max="1047" width="5.875" style="1" customWidth="1"/>
    <col min="1048" max="1048" width="30.375" style="1" customWidth="1"/>
    <col min="1049" max="1049" width="17.25" style="1" customWidth="1"/>
    <col min="1050" max="1051" width="5.875" style="1" customWidth="1"/>
    <col min="1052" max="1052" width="49.125" style="1" customWidth="1"/>
    <col min="1053" max="1053" width="8.375" style="1" customWidth="1"/>
    <col min="1054" max="1054" width="12.375" style="1" customWidth="1"/>
    <col min="1055" max="1055" width="14.375" style="1" customWidth="1"/>
    <col min="1056" max="1056" width="5.875" style="1" customWidth="1"/>
    <col min="1057" max="1057" width="8.375" style="1" customWidth="1"/>
    <col min="1058" max="1058" width="5.875" style="1" customWidth="1"/>
    <col min="1059" max="1059" width="11.125" style="1" customWidth="1"/>
    <col min="1060" max="1064" width="5.875" style="1" customWidth="1"/>
    <col min="1065" max="1065" width="8.875" style="1" customWidth="1"/>
    <col min="1066" max="1066" width="8.625" style="1" customWidth="1"/>
    <col min="1067" max="1067" width="10.625" style="1" customWidth="1"/>
    <col min="1068" max="1068" width="5.875" style="1" customWidth="1"/>
    <col min="1069" max="1069" width="7.875" style="1" customWidth="1"/>
    <col min="1070" max="1070" width="5.875" style="1" customWidth="1"/>
    <col min="1071" max="1071" width="8.125" style="1" customWidth="1"/>
    <col min="1072" max="1076" width="5.875" style="1" customWidth="1"/>
    <col min="1077" max="1280" width="9" style="1"/>
    <col min="1281" max="1281" width="3.75" style="1" customWidth="1"/>
    <col min="1282" max="1282" width="35.625" style="1" customWidth="1"/>
    <col min="1283" max="1284" width="13.75" style="1" customWidth="1"/>
    <col min="1285" max="1285" width="29.5" style="1" customWidth="1"/>
    <col min="1286" max="1286" width="13.75" style="1" customWidth="1"/>
    <col min="1287" max="1287" width="17.375" style="1" customWidth="1"/>
    <col min="1288" max="1288" width="16.125" style="1" customWidth="1"/>
    <col min="1289" max="1291" width="13.75" style="1" customWidth="1"/>
    <col min="1292" max="1292" width="18.25" style="1" customWidth="1"/>
    <col min="1293" max="1293" width="13.75" style="1" customWidth="1"/>
    <col min="1294" max="1295" width="5.875" style="1" customWidth="1"/>
    <col min="1296" max="1296" width="30.375" style="1" customWidth="1"/>
    <col min="1297" max="1297" width="17.25" style="1" customWidth="1"/>
    <col min="1298" max="1299" width="5.875" style="1" customWidth="1"/>
    <col min="1300" max="1300" width="30.375" style="1" customWidth="1"/>
    <col min="1301" max="1301" width="17.25" style="1" customWidth="1"/>
    <col min="1302" max="1303" width="5.875" style="1" customWidth="1"/>
    <col min="1304" max="1304" width="30.375" style="1" customWidth="1"/>
    <col min="1305" max="1305" width="17.25" style="1" customWidth="1"/>
    <col min="1306" max="1307" width="5.875" style="1" customWidth="1"/>
    <col min="1308" max="1308" width="49.125" style="1" customWidth="1"/>
    <col min="1309" max="1309" width="8.375" style="1" customWidth="1"/>
    <col min="1310" max="1310" width="12.375" style="1" customWidth="1"/>
    <col min="1311" max="1311" width="14.375" style="1" customWidth="1"/>
    <col min="1312" max="1312" width="5.875" style="1" customWidth="1"/>
    <col min="1313" max="1313" width="8.375" style="1" customWidth="1"/>
    <col min="1314" max="1314" width="5.875" style="1" customWidth="1"/>
    <col min="1315" max="1315" width="11.125" style="1" customWidth="1"/>
    <col min="1316" max="1320" width="5.875" style="1" customWidth="1"/>
    <col min="1321" max="1321" width="8.875" style="1" customWidth="1"/>
    <col min="1322" max="1322" width="8.625" style="1" customWidth="1"/>
    <col min="1323" max="1323" width="10.625" style="1" customWidth="1"/>
    <col min="1324" max="1324" width="5.875" style="1" customWidth="1"/>
    <col min="1325" max="1325" width="7.875" style="1" customWidth="1"/>
    <col min="1326" max="1326" width="5.875" style="1" customWidth="1"/>
    <col min="1327" max="1327" width="8.125" style="1" customWidth="1"/>
    <col min="1328" max="1332" width="5.875" style="1" customWidth="1"/>
    <col min="1333" max="1536" width="9" style="1"/>
    <col min="1537" max="1537" width="3.75" style="1" customWidth="1"/>
    <col min="1538" max="1538" width="35.625" style="1" customWidth="1"/>
    <col min="1539" max="1540" width="13.75" style="1" customWidth="1"/>
    <col min="1541" max="1541" width="29.5" style="1" customWidth="1"/>
    <col min="1542" max="1542" width="13.75" style="1" customWidth="1"/>
    <col min="1543" max="1543" width="17.375" style="1" customWidth="1"/>
    <col min="1544" max="1544" width="16.125" style="1" customWidth="1"/>
    <col min="1545" max="1547" width="13.75" style="1" customWidth="1"/>
    <col min="1548" max="1548" width="18.25" style="1" customWidth="1"/>
    <col min="1549" max="1549" width="13.75" style="1" customWidth="1"/>
    <col min="1550" max="1551" width="5.875" style="1" customWidth="1"/>
    <col min="1552" max="1552" width="30.375" style="1" customWidth="1"/>
    <col min="1553" max="1553" width="17.25" style="1" customWidth="1"/>
    <col min="1554" max="1555" width="5.875" style="1" customWidth="1"/>
    <col min="1556" max="1556" width="30.375" style="1" customWidth="1"/>
    <col min="1557" max="1557" width="17.25" style="1" customWidth="1"/>
    <col min="1558" max="1559" width="5.875" style="1" customWidth="1"/>
    <col min="1560" max="1560" width="30.375" style="1" customWidth="1"/>
    <col min="1561" max="1561" width="17.25" style="1" customWidth="1"/>
    <col min="1562" max="1563" width="5.875" style="1" customWidth="1"/>
    <col min="1564" max="1564" width="49.125" style="1" customWidth="1"/>
    <col min="1565" max="1565" width="8.375" style="1" customWidth="1"/>
    <col min="1566" max="1566" width="12.375" style="1" customWidth="1"/>
    <col min="1567" max="1567" width="14.375" style="1" customWidth="1"/>
    <col min="1568" max="1568" width="5.875" style="1" customWidth="1"/>
    <col min="1569" max="1569" width="8.375" style="1" customWidth="1"/>
    <col min="1570" max="1570" width="5.875" style="1" customWidth="1"/>
    <col min="1571" max="1571" width="11.125" style="1" customWidth="1"/>
    <col min="1572" max="1576" width="5.875" style="1" customWidth="1"/>
    <col min="1577" max="1577" width="8.875" style="1" customWidth="1"/>
    <col min="1578" max="1578" width="8.625" style="1" customWidth="1"/>
    <col min="1579" max="1579" width="10.625" style="1" customWidth="1"/>
    <col min="1580" max="1580" width="5.875" style="1" customWidth="1"/>
    <col min="1581" max="1581" width="7.875" style="1" customWidth="1"/>
    <col min="1582" max="1582" width="5.875" style="1" customWidth="1"/>
    <col min="1583" max="1583" width="8.125" style="1" customWidth="1"/>
    <col min="1584" max="1588" width="5.875" style="1" customWidth="1"/>
    <col min="1589" max="1792" width="9" style="1"/>
    <col min="1793" max="1793" width="3.75" style="1" customWidth="1"/>
    <col min="1794" max="1794" width="35.625" style="1" customWidth="1"/>
    <col min="1795" max="1796" width="13.75" style="1" customWidth="1"/>
    <col min="1797" max="1797" width="29.5" style="1" customWidth="1"/>
    <col min="1798" max="1798" width="13.75" style="1" customWidth="1"/>
    <col min="1799" max="1799" width="17.375" style="1" customWidth="1"/>
    <col min="1800" max="1800" width="16.125" style="1" customWidth="1"/>
    <col min="1801" max="1803" width="13.75" style="1" customWidth="1"/>
    <col min="1804" max="1804" width="18.25" style="1" customWidth="1"/>
    <col min="1805" max="1805" width="13.75" style="1" customWidth="1"/>
    <col min="1806" max="1807" width="5.875" style="1" customWidth="1"/>
    <col min="1808" max="1808" width="30.375" style="1" customWidth="1"/>
    <col min="1809" max="1809" width="17.25" style="1" customWidth="1"/>
    <col min="1810" max="1811" width="5.875" style="1" customWidth="1"/>
    <col min="1812" max="1812" width="30.375" style="1" customWidth="1"/>
    <col min="1813" max="1813" width="17.25" style="1" customWidth="1"/>
    <col min="1814" max="1815" width="5.875" style="1" customWidth="1"/>
    <col min="1816" max="1816" width="30.375" style="1" customWidth="1"/>
    <col min="1817" max="1817" width="17.25" style="1" customWidth="1"/>
    <col min="1818" max="1819" width="5.875" style="1" customWidth="1"/>
    <col min="1820" max="1820" width="49.125" style="1" customWidth="1"/>
    <col min="1821" max="1821" width="8.375" style="1" customWidth="1"/>
    <col min="1822" max="1822" width="12.375" style="1" customWidth="1"/>
    <col min="1823" max="1823" width="14.375" style="1" customWidth="1"/>
    <col min="1824" max="1824" width="5.875" style="1" customWidth="1"/>
    <col min="1825" max="1825" width="8.375" style="1" customWidth="1"/>
    <col min="1826" max="1826" width="5.875" style="1" customWidth="1"/>
    <col min="1827" max="1827" width="11.125" style="1" customWidth="1"/>
    <col min="1828" max="1832" width="5.875" style="1" customWidth="1"/>
    <col min="1833" max="1833" width="8.875" style="1" customWidth="1"/>
    <col min="1834" max="1834" width="8.625" style="1" customWidth="1"/>
    <col min="1835" max="1835" width="10.625" style="1" customWidth="1"/>
    <col min="1836" max="1836" width="5.875" style="1" customWidth="1"/>
    <col min="1837" max="1837" width="7.875" style="1" customWidth="1"/>
    <col min="1838" max="1838" width="5.875" style="1" customWidth="1"/>
    <col min="1839" max="1839" width="8.125" style="1" customWidth="1"/>
    <col min="1840" max="1844" width="5.875" style="1" customWidth="1"/>
    <col min="1845" max="2048" width="9" style="1"/>
    <col min="2049" max="2049" width="3.75" style="1" customWidth="1"/>
    <col min="2050" max="2050" width="35.625" style="1" customWidth="1"/>
    <col min="2051" max="2052" width="13.75" style="1" customWidth="1"/>
    <col min="2053" max="2053" width="29.5" style="1" customWidth="1"/>
    <col min="2054" max="2054" width="13.75" style="1" customWidth="1"/>
    <col min="2055" max="2055" width="17.375" style="1" customWidth="1"/>
    <col min="2056" max="2056" width="16.125" style="1" customWidth="1"/>
    <col min="2057" max="2059" width="13.75" style="1" customWidth="1"/>
    <col min="2060" max="2060" width="18.25" style="1" customWidth="1"/>
    <col min="2061" max="2061" width="13.75" style="1" customWidth="1"/>
    <col min="2062" max="2063" width="5.875" style="1" customWidth="1"/>
    <col min="2064" max="2064" width="30.375" style="1" customWidth="1"/>
    <col min="2065" max="2065" width="17.25" style="1" customWidth="1"/>
    <col min="2066" max="2067" width="5.875" style="1" customWidth="1"/>
    <col min="2068" max="2068" width="30.375" style="1" customWidth="1"/>
    <col min="2069" max="2069" width="17.25" style="1" customWidth="1"/>
    <col min="2070" max="2071" width="5.875" style="1" customWidth="1"/>
    <col min="2072" max="2072" width="30.375" style="1" customWidth="1"/>
    <col min="2073" max="2073" width="17.25" style="1" customWidth="1"/>
    <col min="2074" max="2075" width="5.875" style="1" customWidth="1"/>
    <col min="2076" max="2076" width="49.125" style="1" customWidth="1"/>
    <col min="2077" max="2077" width="8.375" style="1" customWidth="1"/>
    <col min="2078" max="2078" width="12.375" style="1" customWidth="1"/>
    <col min="2079" max="2079" width="14.375" style="1" customWidth="1"/>
    <col min="2080" max="2080" width="5.875" style="1" customWidth="1"/>
    <col min="2081" max="2081" width="8.375" style="1" customWidth="1"/>
    <col min="2082" max="2082" width="5.875" style="1" customWidth="1"/>
    <col min="2083" max="2083" width="11.125" style="1" customWidth="1"/>
    <col min="2084" max="2088" width="5.875" style="1" customWidth="1"/>
    <col min="2089" max="2089" width="8.875" style="1" customWidth="1"/>
    <col min="2090" max="2090" width="8.625" style="1" customWidth="1"/>
    <col min="2091" max="2091" width="10.625" style="1" customWidth="1"/>
    <col min="2092" max="2092" width="5.875" style="1" customWidth="1"/>
    <col min="2093" max="2093" width="7.875" style="1" customWidth="1"/>
    <col min="2094" max="2094" width="5.875" style="1" customWidth="1"/>
    <col min="2095" max="2095" width="8.125" style="1" customWidth="1"/>
    <col min="2096" max="2100" width="5.875" style="1" customWidth="1"/>
    <col min="2101" max="2304" width="9" style="1"/>
    <col min="2305" max="2305" width="3.75" style="1" customWidth="1"/>
    <col min="2306" max="2306" width="35.625" style="1" customWidth="1"/>
    <col min="2307" max="2308" width="13.75" style="1" customWidth="1"/>
    <col min="2309" max="2309" width="29.5" style="1" customWidth="1"/>
    <col min="2310" max="2310" width="13.75" style="1" customWidth="1"/>
    <col min="2311" max="2311" width="17.375" style="1" customWidth="1"/>
    <col min="2312" max="2312" width="16.125" style="1" customWidth="1"/>
    <col min="2313" max="2315" width="13.75" style="1" customWidth="1"/>
    <col min="2316" max="2316" width="18.25" style="1" customWidth="1"/>
    <col min="2317" max="2317" width="13.75" style="1" customWidth="1"/>
    <col min="2318" max="2319" width="5.875" style="1" customWidth="1"/>
    <col min="2320" max="2320" width="30.375" style="1" customWidth="1"/>
    <col min="2321" max="2321" width="17.25" style="1" customWidth="1"/>
    <col min="2322" max="2323" width="5.875" style="1" customWidth="1"/>
    <col min="2324" max="2324" width="30.375" style="1" customWidth="1"/>
    <col min="2325" max="2325" width="17.25" style="1" customWidth="1"/>
    <col min="2326" max="2327" width="5.875" style="1" customWidth="1"/>
    <col min="2328" max="2328" width="30.375" style="1" customWidth="1"/>
    <col min="2329" max="2329" width="17.25" style="1" customWidth="1"/>
    <col min="2330" max="2331" width="5.875" style="1" customWidth="1"/>
    <col min="2332" max="2332" width="49.125" style="1" customWidth="1"/>
    <col min="2333" max="2333" width="8.375" style="1" customWidth="1"/>
    <col min="2334" max="2334" width="12.375" style="1" customWidth="1"/>
    <col min="2335" max="2335" width="14.375" style="1" customWidth="1"/>
    <col min="2336" max="2336" width="5.875" style="1" customWidth="1"/>
    <col min="2337" max="2337" width="8.375" style="1" customWidth="1"/>
    <col min="2338" max="2338" width="5.875" style="1" customWidth="1"/>
    <col min="2339" max="2339" width="11.125" style="1" customWidth="1"/>
    <col min="2340" max="2344" width="5.875" style="1" customWidth="1"/>
    <col min="2345" max="2345" width="8.875" style="1" customWidth="1"/>
    <col min="2346" max="2346" width="8.625" style="1" customWidth="1"/>
    <col min="2347" max="2347" width="10.625" style="1" customWidth="1"/>
    <col min="2348" max="2348" width="5.875" style="1" customWidth="1"/>
    <col min="2349" max="2349" width="7.875" style="1" customWidth="1"/>
    <col min="2350" max="2350" width="5.875" style="1" customWidth="1"/>
    <col min="2351" max="2351" width="8.125" style="1" customWidth="1"/>
    <col min="2352" max="2356" width="5.875" style="1" customWidth="1"/>
    <col min="2357" max="2560" width="9" style="1"/>
    <col min="2561" max="2561" width="3.75" style="1" customWidth="1"/>
    <col min="2562" max="2562" width="35.625" style="1" customWidth="1"/>
    <col min="2563" max="2564" width="13.75" style="1" customWidth="1"/>
    <col min="2565" max="2565" width="29.5" style="1" customWidth="1"/>
    <col min="2566" max="2566" width="13.75" style="1" customWidth="1"/>
    <col min="2567" max="2567" width="17.375" style="1" customWidth="1"/>
    <col min="2568" max="2568" width="16.125" style="1" customWidth="1"/>
    <col min="2569" max="2571" width="13.75" style="1" customWidth="1"/>
    <col min="2572" max="2572" width="18.25" style="1" customWidth="1"/>
    <col min="2573" max="2573" width="13.75" style="1" customWidth="1"/>
    <col min="2574" max="2575" width="5.875" style="1" customWidth="1"/>
    <col min="2576" max="2576" width="30.375" style="1" customWidth="1"/>
    <col min="2577" max="2577" width="17.25" style="1" customWidth="1"/>
    <col min="2578" max="2579" width="5.875" style="1" customWidth="1"/>
    <col min="2580" max="2580" width="30.375" style="1" customWidth="1"/>
    <col min="2581" max="2581" width="17.25" style="1" customWidth="1"/>
    <col min="2582" max="2583" width="5.875" style="1" customWidth="1"/>
    <col min="2584" max="2584" width="30.375" style="1" customWidth="1"/>
    <col min="2585" max="2585" width="17.25" style="1" customWidth="1"/>
    <col min="2586" max="2587" width="5.875" style="1" customWidth="1"/>
    <col min="2588" max="2588" width="49.125" style="1" customWidth="1"/>
    <col min="2589" max="2589" width="8.375" style="1" customWidth="1"/>
    <col min="2590" max="2590" width="12.375" style="1" customWidth="1"/>
    <col min="2591" max="2591" width="14.375" style="1" customWidth="1"/>
    <col min="2592" max="2592" width="5.875" style="1" customWidth="1"/>
    <col min="2593" max="2593" width="8.375" style="1" customWidth="1"/>
    <col min="2594" max="2594" width="5.875" style="1" customWidth="1"/>
    <col min="2595" max="2595" width="11.125" style="1" customWidth="1"/>
    <col min="2596" max="2600" width="5.875" style="1" customWidth="1"/>
    <col min="2601" max="2601" width="8.875" style="1" customWidth="1"/>
    <col min="2602" max="2602" width="8.625" style="1" customWidth="1"/>
    <col min="2603" max="2603" width="10.625" style="1" customWidth="1"/>
    <col min="2604" max="2604" width="5.875" style="1" customWidth="1"/>
    <col min="2605" max="2605" width="7.875" style="1" customWidth="1"/>
    <col min="2606" max="2606" width="5.875" style="1" customWidth="1"/>
    <col min="2607" max="2607" width="8.125" style="1" customWidth="1"/>
    <col min="2608" max="2612" width="5.875" style="1" customWidth="1"/>
    <col min="2613" max="2816" width="9" style="1"/>
    <col min="2817" max="2817" width="3.75" style="1" customWidth="1"/>
    <col min="2818" max="2818" width="35.625" style="1" customWidth="1"/>
    <col min="2819" max="2820" width="13.75" style="1" customWidth="1"/>
    <col min="2821" max="2821" width="29.5" style="1" customWidth="1"/>
    <col min="2822" max="2822" width="13.75" style="1" customWidth="1"/>
    <col min="2823" max="2823" width="17.375" style="1" customWidth="1"/>
    <col min="2824" max="2824" width="16.125" style="1" customWidth="1"/>
    <col min="2825" max="2827" width="13.75" style="1" customWidth="1"/>
    <col min="2828" max="2828" width="18.25" style="1" customWidth="1"/>
    <col min="2829" max="2829" width="13.75" style="1" customWidth="1"/>
    <col min="2830" max="2831" width="5.875" style="1" customWidth="1"/>
    <col min="2832" max="2832" width="30.375" style="1" customWidth="1"/>
    <col min="2833" max="2833" width="17.25" style="1" customWidth="1"/>
    <col min="2834" max="2835" width="5.875" style="1" customWidth="1"/>
    <col min="2836" max="2836" width="30.375" style="1" customWidth="1"/>
    <col min="2837" max="2837" width="17.25" style="1" customWidth="1"/>
    <col min="2838" max="2839" width="5.875" style="1" customWidth="1"/>
    <col min="2840" max="2840" width="30.375" style="1" customWidth="1"/>
    <col min="2841" max="2841" width="17.25" style="1" customWidth="1"/>
    <col min="2842" max="2843" width="5.875" style="1" customWidth="1"/>
    <col min="2844" max="2844" width="49.125" style="1" customWidth="1"/>
    <col min="2845" max="2845" width="8.375" style="1" customWidth="1"/>
    <col min="2846" max="2846" width="12.375" style="1" customWidth="1"/>
    <col min="2847" max="2847" width="14.375" style="1" customWidth="1"/>
    <col min="2848" max="2848" width="5.875" style="1" customWidth="1"/>
    <col min="2849" max="2849" width="8.375" style="1" customWidth="1"/>
    <col min="2850" max="2850" width="5.875" style="1" customWidth="1"/>
    <col min="2851" max="2851" width="11.125" style="1" customWidth="1"/>
    <col min="2852" max="2856" width="5.875" style="1" customWidth="1"/>
    <col min="2857" max="2857" width="8.875" style="1" customWidth="1"/>
    <col min="2858" max="2858" width="8.625" style="1" customWidth="1"/>
    <col min="2859" max="2859" width="10.625" style="1" customWidth="1"/>
    <col min="2860" max="2860" width="5.875" style="1" customWidth="1"/>
    <col min="2861" max="2861" width="7.875" style="1" customWidth="1"/>
    <col min="2862" max="2862" width="5.875" style="1" customWidth="1"/>
    <col min="2863" max="2863" width="8.125" style="1" customWidth="1"/>
    <col min="2864" max="2868" width="5.875" style="1" customWidth="1"/>
    <col min="2869" max="3072" width="9" style="1"/>
    <col min="3073" max="3073" width="3.75" style="1" customWidth="1"/>
    <col min="3074" max="3074" width="35.625" style="1" customWidth="1"/>
    <col min="3075" max="3076" width="13.75" style="1" customWidth="1"/>
    <col min="3077" max="3077" width="29.5" style="1" customWidth="1"/>
    <col min="3078" max="3078" width="13.75" style="1" customWidth="1"/>
    <col min="3079" max="3079" width="17.375" style="1" customWidth="1"/>
    <col min="3080" max="3080" width="16.125" style="1" customWidth="1"/>
    <col min="3081" max="3083" width="13.75" style="1" customWidth="1"/>
    <col min="3084" max="3084" width="18.25" style="1" customWidth="1"/>
    <col min="3085" max="3085" width="13.75" style="1" customWidth="1"/>
    <col min="3086" max="3087" width="5.875" style="1" customWidth="1"/>
    <col min="3088" max="3088" width="30.375" style="1" customWidth="1"/>
    <col min="3089" max="3089" width="17.25" style="1" customWidth="1"/>
    <col min="3090" max="3091" width="5.875" style="1" customWidth="1"/>
    <col min="3092" max="3092" width="30.375" style="1" customWidth="1"/>
    <col min="3093" max="3093" width="17.25" style="1" customWidth="1"/>
    <col min="3094" max="3095" width="5.875" style="1" customWidth="1"/>
    <col min="3096" max="3096" width="30.375" style="1" customWidth="1"/>
    <col min="3097" max="3097" width="17.25" style="1" customWidth="1"/>
    <col min="3098" max="3099" width="5.875" style="1" customWidth="1"/>
    <col min="3100" max="3100" width="49.125" style="1" customWidth="1"/>
    <col min="3101" max="3101" width="8.375" style="1" customWidth="1"/>
    <col min="3102" max="3102" width="12.375" style="1" customWidth="1"/>
    <col min="3103" max="3103" width="14.375" style="1" customWidth="1"/>
    <col min="3104" max="3104" width="5.875" style="1" customWidth="1"/>
    <col min="3105" max="3105" width="8.375" style="1" customWidth="1"/>
    <col min="3106" max="3106" width="5.875" style="1" customWidth="1"/>
    <col min="3107" max="3107" width="11.125" style="1" customWidth="1"/>
    <col min="3108" max="3112" width="5.875" style="1" customWidth="1"/>
    <col min="3113" max="3113" width="8.875" style="1" customWidth="1"/>
    <col min="3114" max="3114" width="8.625" style="1" customWidth="1"/>
    <col min="3115" max="3115" width="10.625" style="1" customWidth="1"/>
    <col min="3116" max="3116" width="5.875" style="1" customWidth="1"/>
    <col min="3117" max="3117" width="7.875" style="1" customWidth="1"/>
    <col min="3118" max="3118" width="5.875" style="1" customWidth="1"/>
    <col min="3119" max="3119" width="8.125" style="1" customWidth="1"/>
    <col min="3120" max="3124" width="5.875" style="1" customWidth="1"/>
    <col min="3125" max="3328" width="9" style="1"/>
    <col min="3329" max="3329" width="3.75" style="1" customWidth="1"/>
    <col min="3330" max="3330" width="35.625" style="1" customWidth="1"/>
    <col min="3331" max="3332" width="13.75" style="1" customWidth="1"/>
    <col min="3333" max="3333" width="29.5" style="1" customWidth="1"/>
    <col min="3334" max="3334" width="13.75" style="1" customWidth="1"/>
    <col min="3335" max="3335" width="17.375" style="1" customWidth="1"/>
    <col min="3336" max="3336" width="16.125" style="1" customWidth="1"/>
    <col min="3337" max="3339" width="13.75" style="1" customWidth="1"/>
    <col min="3340" max="3340" width="18.25" style="1" customWidth="1"/>
    <col min="3341" max="3341" width="13.75" style="1" customWidth="1"/>
    <col min="3342" max="3343" width="5.875" style="1" customWidth="1"/>
    <col min="3344" max="3344" width="30.375" style="1" customWidth="1"/>
    <col min="3345" max="3345" width="17.25" style="1" customWidth="1"/>
    <col min="3346" max="3347" width="5.875" style="1" customWidth="1"/>
    <col min="3348" max="3348" width="30.375" style="1" customWidth="1"/>
    <col min="3349" max="3349" width="17.25" style="1" customWidth="1"/>
    <col min="3350" max="3351" width="5.875" style="1" customWidth="1"/>
    <col min="3352" max="3352" width="30.375" style="1" customWidth="1"/>
    <col min="3353" max="3353" width="17.25" style="1" customWidth="1"/>
    <col min="3354" max="3355" width="5.875" style="1" customWidth="1"/>
    <col min="3356" max="3356" width="49.125" style="1" customWidth="1"/>
    <col min="3357" max="3357" width="8.375" style="1" customWidth="1"/>
    <col min="3358" max="3358" width="12.375" style="1" customWidth="1"/>
    <col min="3359" max="3359" width="14.375" style="1" customWidth="1"/>
    <col min="3360" max="3360" width="5.875" style="1" customWidth="1"/>
    <col min="3361" max="3361" width="8.375" style="1" customWidth="1"/>
    <col min="3362" max="3362" width="5.875" style="1" customWidth="1"/>
    <col min="3363" max="3363" width="11.125" style="1" customWidth="1"/>
    <col min="3364" max="3368" width="5.875" style="1" customWidth="1"/>
    <col min="3369" max="3369" width="8.875" style="1" customWidth="1"/>
    <col min="3370" max="3370" width="8.625" style="1" customWidth="1"/>
    <col min="3371" max="3371" width="10.625" style="1" customWidth="1"/>
    <col min="3372" max="3372" width="5.875" style="1" customWidth="1"/>
    <col min="3373" max="3373" width="7.875" style="1" customWidth="1"/>
    <col min="3374" max="3374" width="5.875" style="1" customWidth="1"/>
    <col min="3375" max="3375" width="8.125" style="1" customWidth="1"/>
    <col min="3376" max="3380" width="5.875" style="1" customWidth="1"/>
    <col min="3381" max="3584" width="9" style="1"/>
    <col min="3585" max="3585" width="3.75" style="1" customWidth="1"/>
    <col min="3586" max="3586" width="35.625" style="1" customWidth="1"/>
    <col min="3587" max="3588" width="13.75" style="1" customWidth="1"/>
    <col min="3589" max="3589" width="29.5" style="1" customWidth="1"/>
    <col min="3590" max="3590" width="13.75" style="1" customWidth="1"/>
    <col min="3591" max="3591" width="17.375" style="1" customWidth="1"/>
    <col min="3592" max="3592" width="16.125" style="1" customWidth="1"/>
    <col min="3593" max="3595" width="13.75" style="1" customWidth="1"/>
    <col min="3596" max="3596" width="18.25" style="1" customWidth="1"/>
    <col min="3597" max="3597" width="13.75" style="1" customWidth="1"/>
    <col min="3598" max="3599" width="5.875" style="1" customWidth="1"/>
    <col min="3600" max="3600" width="30.375" style="1" customWidth="1"/>
    <col min="3601" max="3601" width="17.25" style="1" customWidth="1"/>
    <col min="3602" max="3603" width="5.875" style="1" customWidth="1"/>
    <col min="3604" max="3604" width="30.375" style="1" customWidth="1"/>
    <col min="3605" max="3605" width="17.25" style="1" customWidth="1"/>
    <col min="3606" max="3607" width="5.875" style="1" customWidth="1"/>
    <col min="3608" max="3608" width="30.375" style="1" customWidth="1"/>
    <col min="3609" max="3609" width="17.25" style="1" customWidth="1"/>
    <col min="3610" max="3611" width="5.875" style="1" customWidth="1"/>
    <col min="3612" max="3612" width="49.125" style="1" customWidth="1"/>
    <col min="3613" max="3613" width="8.375" style="1" customWidth="1"/>
    <col min="3614" max="3614" width="12.375" style="1" customWidth="1"/>
    <col min="3615" max="3615" width="14.375" style="1" customWidth="1"/>
    <col min="3616" max="3616" width="5.875" style="1" customWidth="1"/>
    <col min="3617" max="3617" width="8.375" style="1" customWidth="1"/>
    <col min="3618" max="3618" width="5.875" style="1" customWidth="1"/>
    <col min="3619" max="3619" width="11.125" style="1" customWidth="1"/>
    <col min="3620" max="3624" width="5.875" style="1" customWidth="1"/>
    <col min="3625" max="3625" width="8.875" style="1" customWidth="1"/>
    <col min="3626" max="3626" width="8.625" style="1" customWidth="1"/>
    <col min="3627" max="3627" width="10.625" style="1" customWidth="1"/>
    <col min="3628" max="3628" width="5.875" style="1" customWidth="1"/>
    <col min="3629" max="3629" width="7.875" style="1" customWidth="1"/>
    <col min="3630" max="3630" width="5.875" style="1" customWidth="1"/>
    <col min="3631" max="3631" width="8.125" style="1" customWidth="1"/>
    <col min="3632" max="3636" width="5.875" style="1" customWidth="1"/>
    <col min="3637" max="3840" width="9" style="1"/>
    <col min="3841" max="3841" width="3.75" style="1" customWidth="1"/>
    <col min="3842" max="3842" width="35.625" style="1" customWidth="1"/>
    <col min="3843" max="3844" width="13.75" style="1" customWidth="1"/>
    <col min="3845" max="3845" width="29.5" style="1" customWidth="1"/>
    <col min="3846" max="3846" width="13.75" style="1" customWidth="1"/>
    <col min="3847" max="3847" width="17.375" style="1" customWidth="1"/>
    <col min="3848" max="3848" width="16.125" style="1" customWidth="1"/>
    <col min="3849" max="3851" width="13.75" style="1" customWidth="1"/>
    <col min="3852" max="3852" width="18.25" style="1" customWidth="1"/>
    <col min="3853" max="3853" width="13.75" style="1" customWidth="1"/>
    <col min="3854" max="3855" width="5.875" style="1" customWidth="1"/>
    <col min="3856" max="3856" width="30.375" style="1" customWidth="1"/>
    <col min="3857" max="3857" width="17.25" style="1" customWidth="1"/>
    <col min="3858" max="3859" width="5.875" style="1" customWidth="1"/>
    <col min="3860" max="3860" width="30.375" style="1" customWidth="1"/>
    <col min="3861" max="3861" width="17.25" style="1" customWidth="1"/>
    <col min="3862" max="3863" width="5.875" style="1" customWidth="1"/>
    <col min="3864" max="3864" width="30.375" style="1" customWidth="1"/>
    <col min="3865" max="3865" width="17.25" style="1" customWidth="1"/>
    <col min="3866" max="3867" width="5.875" style="1" customWidth="1"/>
    <col min="3868" max="3868" width="49.125" style="1" customWidth="1"/>
    <col min="3869" max="3869" width="8.375" style="1" customWidth="1"/>
    <col min="3870" max="3870" width="12.375" style="1" customWidth="1"/>
    <col min="3871" max="3871" width="14.375" style="1" customWidth="1"/>
    <col min="3872" max="3872" width="5.875" style="1" customWidth="1"/>
    <col min="3873" max="3873" width="8.375" style="1" customWidth="1"/>
    <col min="3874" max="3874" width="5.875" style="1" customWidth="1"/>
    <col min="3875" max="3875" width="11.125" style="1" customWidth="1"/>
    <col min="3876" max="3880" width="5.875" style="1" customWidth="1"/>
    <col min="3881" max="3881" width="8.875" style="1" customWidth="1"/>
    <col min="3882" max="3882" width="8.625" style="1" customWidth="1"/>
    <col min="3883" max="3883" width="10.625" style="1" customWidth="1"/>
    <col min="3884" max="3884" width="5.875" style="1" customWidth="1"/>
    <col min="3885" max="3885" width="7.875" style="1" customWidth="1"/>
    <col min="3886" max="3886" width="5.875" style="1" customWidth="1"/>
    <col min="3887" max="3887" width="8.125" style="1" customWidth="1"/>
    <col min="3888" max="3892" width="5.875" style="1" customWidth="1"/>
    <col min="3893" max="4096" width="9" style="1"/>
    <col min="4097" max="4097" width="3.75" style="1" customWidth="1"/>
    <col min="4098" max="4098" width="35.625" style="1" customWidth="1"/>
    <col min="4099" max="4100" width="13.75" style="1" customWidth="1"/>
    <col min="4101" max="4101" width="29.5" style="1" customWidth="1"/>
    <col min="4102" max="4102" width="13.75" style="1" customWidth="1"/>
    <col min="4103" max="4103" width="17.375" style="1" customWidth="1"/>
    <col min="4104" max="4104" width="16.125" style="1" customWidth="1"/>
    <col min="4105" max="4107" width="13.75" style="1" customWidth="1"/>
    <col min="4108" max="4108" width="18.25" style="1" customWidth="1"/>
    <col min="4109" max="4109" width="13.75" style="1" customWidth="1"/>
    <col min="4110" max="4111" width="5.875" style="1" customWidth="1"/>
    <col min="4112" max="4112" width="30.375" style="1" customWidth="1"/>
    <col min="4113" max="4113" width="17.25" style="1" customWidth="1"/>
    <col min="4114" max="4115" width="5.875" style="1" customWidth="1"/>
    <col min="4116" max="4116" width="30.375" style="1" customWidth="1"/>
    <col min="4117" max="4117" width="17.25" style="1" customWidth="1"/>
    <col min="4118" max="4119" width="5.875" style="1" customWidth="1"/>
    <col min="4120" max="4120" width="30.375" style="1" customWidth="1"/>
    <col min="4121" max="4121" width="17.25" style="1" customWidth="1"/>
    <col min="4122" max="4123" width="5.875" style="1" customWidth="1"/>
    <col min="4124" max="4124" width="49.125" style="1" customWidth="1"/>
    <col min="4125" max="4125" width="8.375" style="1" customWidth="1"/>
    <col min="4126" max="4126" width="12.375" style="1" customWidth="1"/>
    <col min="4127" max="4127" width="14.375" style="1" customWidth="1"/>
    <col min="4128" max="4128" width="5.875" style="1" customWidth="1"/>
    <col min="4129" max="4129" width="8.375" style="1" customWidth="1"/>
    <col min="4130" max="4130" width="5.875" style="1" customWidth="1"/>
    <col min="4131" max="4131" width="11.125" style="1" customWidth="1"/>
    <col min="4132" max="4136" width="5.875" style="1" customWidth="1"/>
    <col min="4137" max="4137" width="8.875" style="1" customWidth="1"/>
    <col min="4138" max="4138" width="8.625" style="1" customWidth="1"/>
    <col min="4139" max="4139" width="10.625" style="1" customWidth="1"/>
    <col min="4140" max="4140" width="5.875" style="1" customWidth="1"/>
    <col min="4141" max="4141" width="7.875" style="1" customWidth="1"/>
    <col min="4142" max="4142" width="5.875" style="1" customWidth="1"/>
    <col min="4143" max="4143" width="8.125" style="1" customWidth="1"/>
    <col min="4144" max="4148" width="5.875" style="1" customWidth="1"/>
    <col min="4149" max="4352" width="9" style="1"/>
    <col min="4353" max="4353" width="3.75" style="1" customWidth="1"/>
    <col min="4354" max="4354" width="35.625" style="1" customWidth="1"/>
    <col min="4355" max="4356" width="13.75" style="1" customWidth="1"/>
    <col min="4357" max="4357" width="29.5" style="1" customWidth="1"/>
    <col min="4358" max="4358" width="13.75" style="1" customWidth="1"/>
    <col min="4359" max="4359" width="17.375" style="1" customWidth="1"/>
    <col min="4360" max="4360" width="16.125" style="1" customWidth="1"/>
    <col min="4361" max="4363" width="13.75" style="1" customWidth="1"/>
    <col min="4364" max="4364" width="18.25" style="1" customWidth="1"/>
    <col min="4365" max="4365" width="13.75" style="1" customWidth="1"/>
    <col min="4366" max="4367" width="5.875" style="1" customWidth="1"/>
    <col min="4368" max="4368" width="30.375" style="1" customWidth="1"/>
    <col min="4369" max="4369" width="17.25" style="1" customWidth="1"/>
    <col min="4370" max="4371" width="5.875" style="1" customWidth="1"/>
    <col min="4372" max="4372" width="30.375" style="1" customWidth="1"/>
    <col min="4373" max="4373" width="17.25" style="1" customWidth="1"/>
    <col min="4374" max="4375" width="5.875" style="1" customWidth="1"/>
    <col min="4376" max="4376" width="30.375" style="1" customWidth="1"/>
    <col min="4377" max="4377" width="17.25" style="1" customWidth="1"/>
    <col min="4378" max="4379" width="5.875" style="1" customWidth="1"/>
    <col min="4380" max="4380" width="49.125" style="1" customWidth="1"/>
    <col min="4381" max="4381" width="8.375" style="1" customWidth="1"/>
    <col min="4382" max="4382" width="12.375" style="1" customWidth="1"/>
    <col min="4383" max="4383" width="14.375" style="1" customWidth="1"/>
    <col min="4384" max="4384" width="5.875" style="1" customWidth="1"/>
    <col min="4385" max="4385" width="8.375" style="1" customWidth="1"/>
    <col min="4386" max="4386" width="5.875" style="1" customWidth="1"/>
    <col min="4387" max="4387" width="11.125" style="1" customWidth="1"/>
    <col min="4388" max="4392" width="5.875" style="1" customWidth="1"/>
    <col min="4393" max="4393" width="8.875" style="1" customWidth="1"/>
    <col min="4394" max="4394" width="8.625" style="1" customWidth="1"/>
    <col min="4395" max="4395" width="10.625" style="1" customWidth="1"/>
    <col min="4396" max="4396" width="5.875" style="1" customWidth="1"/>
    <col min="4397" max="4397" width="7.875" style="1" customWidth="1"/>
    <col min="4398" max="4398" width="5.875" style="1" customWidth="1"/>
    <col min="4399" max="4399" width="8.125" style="1" customWidth="1"/>
    <col min="4400" max="4404" width="5.875" style="1" customWidth="1"/>
    <col min="4405" max="4608" width="9" style="1"/>
    <col min="4609" max="4609" width="3.75" style="1" customWidth="1"/>
    <col min="4610" max="4610" width="35.625" style="1" customWidth="1"/>
    <col min="4611" max="4612" width="13.75" style="1" customWidth="1"/>
    <col min="4613" max="4613" width="29.5" style="1" customWidth="1"/>
    <col min="4614" max="4614" width="13.75" style="1" customWidth="1"/>
    <col min="4615" max="4615" width="17.375" style="1" customWidth="1"/>
    <col min="4616" max="4616" width="16.125" style="1" customWidth="1"/>
    <col min="4617" max="4619" width="13.75" style="1" customWidth="1"/>
    <col min="4620" max="4620" width="18.25" style="1" customWidth="1"/>
    <col min="4621" max="4621" width="13.75" style="1" customWidth="1"/>
    <col min="4622" max="4623" width="5.875" style="1" customWidth="1"/>
    <col min="4624" max="4624" width="30.375" style="1" customWidth="1"/>
    <col min="4625" max="4625" width="17.25" style="1" customWidth="1"/>
    <col min="4626" max="4627" width="5.875" style="1" customWidth="1"/>
    <col min="4628" max="4628" width="30.375" style="1" customWidth="1"/>
    <col min="4629" max="4629" width="17.25" style="1" customWidth="1"/>
    <col min="4630" max="4631" width="5.875" style="1" customWidth="1"/>
    <col min="4632" max="4632" width="30.375" style="1" customWidth="1"/>
    <col min="4633" max="4633" width="17.25" style="1" customWidth="1"/>
    <col min="4634" max="4635" width="5.875" style="1" customWidth="1"/>
    <col min="4636" max="4636" width="49.125" style="1" customWidth="1"/>
    <col min="4637" max="4637" width="8.375" style="1" customWidth="1"/>
    <col min="4638" max="4638" width="12.375" style="1" customWidth="1"/>
    <col min="4639" max="4639" width="14.375" style="1" customWidth="1"/>
    <col min="4640" max="4640" width="5.875" style="1" customWidth="1"/>
    <col min="4641" max="4641" width="8.375" style="1" customWidth="1"/>
    <col min="4642" max="4642" width="5.875" style="1" customWidth="1"/>
    <col min="4643" max="4643" width="11.125" style="1" customWidth="1"/>
    <col min="4644" max="4648" width="5.875" style="1" customWidth="1"/>
    <col min="4649" max="4649" width="8.875" style="1" customWidth="1"/>
    <col min="4650" max="4650" width="8.625" style="1" customWidth="1"/>
    <col min="4651" max="4651" width="10.625" style="1" customWidth="1"/>
    <col min="4652" max="4652" width="5.875" style="1" customWidth="1"/>
    <col min="4653" max="4653" width="7.875" style="1" customWidth="1"/>
    <col min="4654" max="4654" width="5.875" style="1" customWidth="1"/>
    <col min="4655" max="4655" width="8.125" style="1" customWidth="1"/>
    <col min="4656" max="4660" width="5.875" style="1" customWidth="1"/>
    <col min="4661" max="4864" width="9" style="1"/>
    <col min="4865" max="4865" width="3.75" style="1" customWidth="1"/>
    <col min="4866" max="4866" width="35.625" style="1" customWidth="1"/>
    <col min="4867" max="4868" width="13.75" style="1" customWidth="1"/>
    <col min="4869" max="4869" width="29.5" style="1" customWidth="1"/>
    <col min="4870" max="4870" width="13.75" style="1" customWidth="1"/>
    <col min="4871" max="4871" width="17.375" style="1" customWidth="1"/>
    <col min="4872" max="4872" width="16.125" style="1" customWidth="1"/>
    <col min="4873" max="4875" width="13.75" style="1" customWidth="1"/>
    <col min="4876" max="4876" width="18.25" style="1" customWidth="1"/>
    <col min="4877" max="4877" width="13.75" style="1" customWidth="1"/>
    <col min="4878" max="4879" width="5.875" style="1" customWidth="1"/>
    <col min="4880" max="4880" width="30.375" style="1" customWidth="1"/>
    <col min="4881" max="4881" width="17.25" style="1" customWidth="1"/>
    <col min="4882" max="4883" width="5.875" style="1" customWidth="1"/>
    <col min="4884" max="4884" width="30.375" style="1" customWidth="1"/>
    <col min="4885" max="4885" width="17.25" style="1" customWidth="1"/>
    <col min="4886" max="4887" width="5.875" style="1" customWidth="1"/>
    <col min="4888" max="4888" width="30.375" style="1" customWidth="1"/>
    <col min="4889" max="4889" width="17.25" style="1" customWidth="1"/>
    <col min="4890" max="4891" width="5.875" style="1" customWidth="1"/>
    <col min="4892" max="4892" width="49.125" style="1" customWidth="1"/>
    <col min="4893" max="4893" width="8.375" style="1" customWidth="1"/>
    <col min="4894" max="4894" width="12.375" style="1" customWidth="1"/>
    <col min="4895" max="4895" width="14.375" style="1" customWidth="1"/>
    <col min="4896" max="4896" width="5.875" style="1" customWidth="1"/>
    <col min="4897" max="4897" width="8.375" style="1" customWidth="1"/>
    <col min="4898" max="4898" width="5.875" style="1" customWidth="1"/>
    <col min="4899" max="4899" width="11.125" style="1" customWidth="1"/>
    <col min="4900" max="4904" width="5.875" style="1" customWidth="1"/>
    <col min="4905" max="4905" width="8.875" style="1" customWidth="1"/>
    <col min="4906" max="4906" width="8.625" style="1" customWidth="1"/>
    <col min="4907" max="4907" width="10.625" style="1" customWidth="1"/>
    <col min="4908" max="4908" width="5.875" style="1" customWidth="1"/>
    <col min="4909" max="4909" width="7.875" style="1" customWidth="1"/>
    <col min="4910" max="4910" width="5.875" style="1" customWidth="1"/>
    <col min="4911" max="4911" width="8.125" style="1" customWidth="1"/>
    <col min="4912" max="4916" width="5.875" style="1" customWidth="1"/>
    <col min="4917" max="5120" width="9" style="1"/>
    <col min="5121" max="5121" width="3.75" style="1" customWidth="1"/>
    <col min="5122" max="5122" width="35.625" style="1" customWidth="1"/>
    <col min="5123" max="5124" width="13.75" style="1" customWidth="1"/>
    <col min="5125" max="5125" width="29.5" style="1" customWidth="1"/>
    <col min="5126" max="5126" width="13.75" style="1" customWidth="1"/>
    <col min="5127" max="5127" width="17.375" style="1" customWidth="1"/>
    <col min="5128" max="5128" width="16.125" style="1" customWidth="1"/>
    <col min="5129" max="5131" width="13.75" style="1" customWidth="1"/>
    <col min="5132" max="5132" width="18.25" style="1" customWidth="1"/>
    <col min="5133" max="5133" width="13.75" style="1" customWidth="1"/>
    <col min="5134" max="5135" width="5.875" style="1" customWidth="1"/>
    <col min="5136" max="5136" width="30.375" style="1" customWidth="1"/>
    <col min="5137" max="5137" width="17.25" style="1" customWidth="1"/>
    <col min="5138" max="5139" width="5.875" style="1" customWidth="1"/>
    <col min="5140" max="5140" width="30.375" style="1" customWidth="1"/>
    <col min="5141" max="5141" width="17.25" style="1" customWidth="1"/>
    <col min="5142" max="5143" width="5.875" style="1" customWidth="1"/>
    <col min="5144" max="5144" width="30.375" style="1" customWidth="1"/>
    <col min="5145" max="5145" width="17.25" style="1" customWidth="1"/>
    <col min="5146" max="5147" width="5.875" style="1" customWidth="1"/>
    <col min="5148" max="5148" width="49.125" style="1" customWidth="1"/>
    <col min="5149" max="5149" width="8.375" style="1" customWidth="1"/>
    <col min="5150" max="5150" width="12.375" style="1" customWidth="1"/>
    <col min="5151" max="5151" width="14.375" style="1" customWidth="1"/>
    <col min="5152" max="5152" width="5.875" style="1" customWidth="1"/>
    <col min="5153" max="5153" width="8.375" style="1" customWidth="1"/>
    <col min="5154" max="5154" width="5.875" style="1" customWidth="1"/>
    <col min="5155" max="5155" width="11.125" style="1" customWidth="1"/>
    <col min="5156" max="5160" width="5.875" style="1" customWidth="1"/>
    <col min="5161" max="5161" width="8.875" style="1" customWidth="1"/>
    <col min="5162" max="5162" width="8.625" style="1" customWidth="1"/>
    <col min="5163" max="5163" width="10.625" style="1" customWidth="1"/>
    <col min="5164" max="5164" width="5.875" style="1" customWidth="1"/>
    <col min="5165" max="5165" width="7.875" style="1" customWidth="1"/>
    <col min="5166" max="5166" width="5.875" style="1" customWidth="1"/>
    <col min="5167" max="5167" width="8.125" style="1" customWidth="1"/>
    <col min="5168" max="5172" width="5.875" style="1" customWidth="1"/>
    <col min="5173" max="5376" width="9" style="1"/>
    <col min="5377" max="5377" width="3.75" style="1" customWidth="1"/>
    <col min="5378" max="5378" width="35.625" style="1" customWidth="1"/>
    <col min="5379" max="5380" width="13.75" style="1" customWidth="1"/>
    <col min="5381" max="5381" width="29.5" style="1" customWidth="1"/>
    <col min="5382" max="5382" width="13.75" style="1" customWidth="1"/>
    <col min="5383" max="5383" width="17.375" style="1" customWidth="1"/>
    <col min="5384" max="5384" width="16.125" style="1" customWidth="1"/>
    <col min="5385" max="5387" width="13.75" style="1" customWidth="1"/>
    <col min="5388" max="5388" width="18.25" style="1" customWidth="1"/>
    <col min="5389" max="5389" width="13.75" style="1" customWidth="1"/>
    <col min="5390" max="5391" width="5.875" style="1" customWidth="1"/>
    <col min="5392" max="5392" width="30.375" style="1" customWidth="1"/>
    <col min="5393" max="5393" width="17.25" style="1" customWidth="1"/>
    <col min="5394" max="5395" width="5.875" style="1" customWidth="1"/>
    <col min="5396" max="5396" width="30.375" style="1" customWidth="1"/>
    <col min="5397" max="5397" width="17.25" style="1" customWidth="1"/>
    <col min="5398" max="5399" width="5.875" style="1" customWidth="1"/>
    <col min="5400" max="5400" width="30.375" style="1" customWidth="1"/>
    <col min="5401" max="5401" width="17.25" style="1" customWidth="1"/>
    <col min="5402" max="5403" width="5.875" style="1" customWidth="1"/>
    <col min="5404" max="5404" width="49.125" style="1" customWidth="1"/>
    <col min="5405" max="5405" width="8.375" style="1" customWidth="1"/>
    <col min="5406" max="5406" width="12.375" style="1" customWidth="1"/>
    <col min="5407" max="5407" width="14.375" style="1" customWidth="1"/>
    <col min="5408" max="5408" width="5.875" style="1" customWidth="1"/>
    <col min="5409" max="5409" width="8.375" style="1" customWidth="1"/>
    <col min="5410" max="5410" width="5.875" style="1" customWidth="1"/>
    <col min="5411" max="5411" width="11.125" style="1" customWidth="1"/>
    <col min="5412" max="5416" width="5.875" style="1" customWidth="1"/>
    <col min="5417" max="5417" width="8.875" style="1" customWidth="1"/>
    <col min="5418" max="5418" width="8.625" style="1" customWidth="1"/>
    <col min="5419" max="5419" width="10.625" style="1" customWidth="1"/>
    <col min="5420" max="5420" width="5.875" style="1" customWidth="1"/>
    <col min="5421" max="5421" width="7.875" style="1" customWidth="1"/>
    <col min="5422" max="5422" width="5.875" style="1" customWidth="1"/>
    <col min="5423" max="5423" width="8.125" style="1" customWidth="1"/>
    <col min="5424" max="5428" width="5.875" style="1" customWidth="1"/>
    <col min="5429" max="5632" width="9" style="1"/>
    <col min="5633" max="5633" width="3.75" style="1" customWidth="1"/>
    <col min="5634" max="5634" width="35.625" style="1" customWidth="1"/>
    <col min="5635" max="5636" width="13.75" style="1" customWidth="1"/>
    <col min="5637" max="5637" width="29.5" style="1" customWidth="1"/>
    <col min="5638" max="5638" width="13.75" style="1" customWidth="1"/>
    <col min="5639" max="5639" width="17.375" style="1" customWidth="1"/>
    <col min="5640" max="5640" width="16.125" style="1" customWidth="1"/>
    <col min="5641" max="5643" width="13.75" style="1" customWidth="1"/>
    <col min="5644" max="5644" width="18.25" style="1" customWidth="1"/>
    <col min="5645" max="5645" width="13.75" style="1" customWidth="1"/>
    <col min="5646" max="5647" width="5.875" style="1" customWidth="1"/>
    <col min="5648" max="5648" width="30.375" style="1" customWidth="1"/>
    <col min="5649" max="5649" width="17.25" style="1" customWidth="1"/>
    <col min="5650" max="5651" width="5.875" style="1" customWidth="1"/>
    <col min="5652" max="5652" width="30.375" style="1" customWidth="1"/>
    <col min="5653" max="5653" width="17.25" style="1" customWidth="1"/>
    <col min="5654" max="5655" width="5.875" style="1" customWidth="1"/>
    <col min="5656" max="5656" width="30.375" style="1" customWidth="1"/>
    <col min="5657" max="5657" width="17.25" style="1" customWidth="1"/>
    <col min="5658" max="5659" width="5.875" style="1" customWidth="1"/>
    <col min="5660" max="5660" width="49.125" style="1" customWidth="1"/>
    <col min="5661" max="5661" width="8.375" style="1" customWidth="1"/>
    <col min="5662" max="5662" width="12.375" style="1" customWidth="1"/>
    <col min="5663" max="5663" width="14.375" style="1" customWidth="1"/>
    <col min="5664" max="5664" width="5.875" style="1" customWidth="1"/>
    <col min="5665" max="5665" width="8.375" style="1" customWidth="1"/>
    <col min="5666" max="5666" width="5.875" style="1" customWidth="1"/>
    <col min="5667" max="5667" width="11.125" style="1" customWidth="1"/>
    <col min="5668" max="5672" width="5.875" style="1" customWidth="1"/>
    <col min="5673" max="5673" width="8.875" style="1" customWidth="1"/>
    <col min="5674" max="5674" width="8.625" style="1" customWidth="1"/>
    <col min="5675" max="5675" width="10.625" style="1" customWidth="1"/>
    <col min="5676" max="5676" width="5.875" style="1" customWidth="1"/>
    <col min="5677" max="5677" width="7.875" style="1" customWidth="1"/>
    <col min="5678" max="5678" width="5.875" style="1" customWidth="1"/>
    <col min="5679" max="5679" width="8.125" style="1" customWidth="1"/>
    <col min="5680" max="5684" width="5.875" style="1" customWidth="1"/>
    <col min="5685" max="5888" width="9" style="1"/>
    <col min="5889" max="5889" width="3.75" style="1" customWidth="1"/>
    <col min="5890" max="5890" width="35.625" style="1" customWidth="1"/>
    <col min="5891" max="5892" width="13.75" style="1" customWidth="1"/>
    <col min="5893" max="5893" width="29.5" style="1" customWidth="1"/>
    <col min="5894" max="5894" width="13.75" style="1" customWidth="1"/>
    <col min="5895" max="5895" width="17.375" style="1" customWidth="1"/>
    <col min="5896" max="5896" width="16.125" style="1" customWidth="1"/>
    <col min="5897" max="5899" width="13.75" style="1" customWidth="1"/>
    <col min="5900" max="5900" width="18.25" style="1" customWidth="1"/>
    <col min="5901" max="5901" width="13.75" style="1" customWidth="1"/>
    <col min="5902" max="5903" width="5.875" style="1" customWidth="1"/>
    <col min="5904" max="5904" width="30.375" style="1" customWidth="1"/>
    <col min="5905" max="5905" width="17.25" style="1" customWidth="1"/>
    <col min="5906" max="5907" width="5.875" style="1" customWidth="1"/>
    <col min="5908" max="5908" width="30.375" style="1" customWidth="1"/>
    <col min="5909" max="5909" width="17.25" style="1" customWidth="1"/>
    <col min="5910" max="5911" width="5.875" style="1" customWidth="1"/>
    <col min="5912" max="5912" width="30.375" style="1" customWidth="1"/>
    <col min="5913" max="5913" width="17.25" style="1" customWidth="1"/>
    <col min="5914" max="5915" width="5.875" style="1" customWidth="1"/>
    <col min="5916" max="5916" width="49.125" style="1" customWidth="1"/>
    <col min="5917" max="5917" width="8.375" style="1" customWidth="1"/>
    <col min="5918" max="5918" width="12.375" style="1" customWidth="1"/>
    <col min="5919" max="5919" width="14.375" style="1" customWidth="1"/>
    <col min="5920" max="5920" width="5.875" style="1" customWidth="1"/>
    <col min="5921" max="5921" width="8.375" style="1" customWidth="1"/>
    <col min="5922" max="5922" width="5.875" style="1" customWidth="1"/>
    <col min="5923" max="5923" width="11.125" style="1" customWidth="1"/>
    <col min="5924" max="5928" width="5.875" style="1" customWidth="1"/>
    <col min="5929" max="5929" width="8.875" style="1" customWidth="1"/>
    <col min="5930" max="5930" width="8.625" style="1" customWidth="1"/>
    <col min="5931" max="5931" width="10.625" style="1" customWidth="1"/>
    <col min="5932" max="5932" width="5.875" style="1" customWidth="1"/>
    <col min="5933" max="5933" width="7.875" style="1" customWidth="1"/>
    <col min="5934" max="5934" width="5.875" style="1" customWidth="1"/>
    <col min="5935" max="5935" width="8.125" style="1" customWidth="1"/>
    <col min="5936" max="5940" width="5.875" style="1" customWidth="1"/>
    <col min="5941" max="6144" width="9" style="1"/>
    <col min="6145" max="6145" width="3.75" style="1" customWidth="1"/>
    <col min="6146" max="6146" width="35.625" style="1" customWidth="1"/>
    <col min="6147" max="6148" width="13.75" style="1" customWidth="1"/>
    <col min="6149" max="6149" width="29.5" style="1" customWidth="1"/>
    <col min="6150" max="6150" width="13.75" style="1" customWidth="1"/>
    <col min="6151" max="6151" width="17.375" style="1" customWidth="1"/>
    <col min="6152" max="6152" width="16.125" style="1" customWidth="1"/>
    <col min="6153" max="6155" width="13.75" style="1" customWidth="1"/>
    <col min="6156" max="6156" width="18.25" style="1" customWidth="1"/>
    <col min="6157" max="6157" width="13.75" style="1" customWidth="1"/>
    <col min="6158" max="6159" width="5.875" style="1" customWidth="1"/>
    <col min="6160" max="6160" width="30.375" style="1" customWidth="1"/>
    <col min="6161" max="6161" width="17.25" style="1" customWidth="1"/>
    <col min="6162" max="6163" width="5.875" style="1" customWidth="1"/>
    <col min="6164" max="6164" width="30.375" style="1" customWidth="1"/>
    <col min="6165" max="6165" width="17.25" style="1" customWidth="1"/>
    <col min="6166" max="6167" width="5.875" style="1" customWidth="1"/>
    <col min="6168" max="6168" width="30.375" style="1" customWidth="1"/>
    <col min="6169" max="6169" width="17.25" style="1" customWidth="1"/>
    <col min="6170" max="6171" width="5.875" style="1" customWidth="1"/>
    <col min="6172" max="6172" width="49.125" style="1" customWidth="1"/>
    <col min="6173" max="6173" width="8.375" style="1" customWidth="1"/>
    <col min="6174" max="6174" width="12.375" style="1" customWidth="1"/>
    <col min="6175" max="6175" width="14.375" style="1" customWidth="1"/>
    <col min="6176" max="6176" width="5.875" style="1" customWidth="1"/>
    <col min="6177" max="6177" width="8.375" style="1" customWidth="1"/>
    <col min="6178" max="6178" width="5.875" style="1" customWidth="1"/>
    <col min="6179" max="6179" width="11.125" style="1" customWidth="1"/>
    <col min="6180" max="6184" width="5.875" style="1" customWidth="1"/>
    <col min="6185" max="6185" width="8.875" style="1" customWidth="1"/>
    <col min="6186" max="6186" width="8.625" style="1" customWidth="1"/>
    <col min="6187" max="6187" width="10.625" style="1" customWidth="1"/>
    <col min="6188" max="6188" width="5.875" style="1" customWidth="1"/>
    <col min="6189" max="6189" width="7.875" style="1" customWidth="1"/>
    <col min="6190" max="6190" width="5.875" style="1" customWidth="1"/>
    <col min="6191" max="6191" width="8.125" style="1" customWidth="1"/>
    <col min="6192" max="6196" width="5.875" style="1" customWidth="1"/>
    <col min="6197" max="6400" width="9" style="1"/>
    <col min="6401" max="6401" width="3.75" style="1" customWidth="1"/>
    <col min="6402" max="6402" width="35.625" style="1" customWidth="1"/>
    <col min="6403" max="6404" width="13.75" style="1" customWidth="1"/>
    <col min="6405" max="6405" width="29.5" style="1" customWidth="1"/>
    <col min="6406" max="6406" width="13.75" style="1" customWidth="1"/>
    <col min="6407" max="6407" width="17.375" style="1" customWidth="1"/>
    <col min="6408" max="6408" width="16.125" style="1" customWidth="1"/>
    <col min="6409" max="6411" width="13.75" style="1" customWidth="1"/>
    <col min="6412" max="6412" width="18.25" style="1" customWidth="1"/>
    <col min="6413" max="6413" width="13.75" style="1" customWidth="1"/>
    <col min="6414" max="6415" width="5.875" style="1" customWidth="1"/>
    <col min="6416" max="6416" width="30.375" style="1" customWidth="1"/>
    <col min="6417" max="6417" width="17.25" style="1" customWidth="1"/>
    <col min="6418" max="6419" width="5.875" style="1" customWidth="1"/>
    <col min="6420" max="6420" width="30.375" style="1" customWidth="1"/>
    <col min="6421" max="6421" width="17.25" style="1" customWidth="1"/>
    <col min="6422" max="6423" width="5.875" style="1" customWidth="1"/>
    <col min="6424" max="6424" width="30.375" style="1" customWidth="1"/>
    <col min="6425" max="6425" width="17.25" style="1" customWidth="1"/>
    <col min="6426" max="6427" width="5.875" style="1" customWidth="1"/>
    <col min="6428" max="6428" width="49.125" style="1" customWidth="1"/>
    <col min="6429" max="6429" width="8.375" style="1" customWidth="1"/>
    <col min="6430" max="6430" width="12.375" style="1" customWidth="1"/>
    <col min="6431" max="6431" width="14.375" style="1" customWidth="1"/>
    <col min="6432" max="6432" width="5.875" style="1" customWidth="1"/>
    <col min="6433" max="6433" width="8.375" style="1" customWidth="1"/>
    <col min="6434" max="6434" width="5.875" style="1" customWidth="1"/>
    <col min="6435" max="6435" width="11.125" style="1" customWidth="1"/>
    <col min="6436" max="6440" width="5.875" style="1" customWidth="1"/>
    <col min="6441" max="6441" width="8.875" style="1" customWidth="1"/>
    <col min="6442" max="6442" width="8.625" style="1" customWidth="1"/>
    <col min="6443" max="6443" width="10.625" style="1" customWidth="1"/>
    <col min="6444" max="6444" width="5.875" style="1" customWidth="1"/>
    <col min="6445" max="6445" width="7.875" style="1" customWidth="1"/>
    <col min="6446" max="6446" width="5.875" style="1" customWidth="1"/>
    <col min="6447" max="6447" width="8.125" style="1" customWidth="1"/>
    <col min="6448" max="6452" width="5.875" style="1" customWidth="1"/>
    <col min="6453" max="6656" width="9" style="1"/>
    <col min="6657" max="6657" width="3.75" style="1" customWidth="1"/>
    <col min="6658" max="6658" width="35.625" style="1" customWidth="1"/>
    <col min="6659" max="6660" width="13.75" style="1" customWidth="1"/>
    <col min="6661" max="6661" width="29.5" style="1" customWidth="1"/>
    <col min="6662" max="6662" width="13.75" style="1" customWidth="1"/>
    <col min="6663" max="6663" width="17.375" style="1" customWidth="1"/>
    <col min="6664" max="6664" width="16.125" style="1" customWidth="1"/>
    <col min="6665" max="6667" width="13.75" style="1" customWidth="1"/>
    <col min="6668" max="6668" width="18.25" style="1" customWidth="1"/>
    <col min="6669" max="6669" width="13.75" style="1" customWidth="1"/>
    <col min="6670" max="6671" width="5.875" style="1" customWidth="1"/>
    <col min="6672" max="6672" width="30.375" style="1" customWidth="1"/>
    <col min="6673" max="6673" width="17.25" style="1" customWidth="1"/>
    <col min="6674" max="6675" width="5.875" style="1" customWidth="1"/>
    <col min="6676" max="6676" width="30.375" style="1" customWidth="1"/>
    <col min="6677" max="6677" width="17.25" style="1" customWidth="1"/>
    <col min="6678" max="6679" width="5.875" style="1" customWidth="1"/>
    <col min="6680" max="6680" width="30.375" style="1" customWidth="1"/>
    <col min="6681" max="6681" width="17.25" style="1" customWidth="1"/>
    <col min="6682" max="6683" width="5.875" style="1" customWidth="1"/>
    <col min="6684" max="6684" width="49.125" style="1" customWidth="1"/>
    <col min="6685" max="6685" width="8.375" style="1" customWidth="1"/>
    <col min="6686" max="6686" width="12.375" style="1" customWidth="1"/>
    <col min="6687" max="6687" width="14.375" style="1" customWidth="1"/>
    <col min="6688" max="6688" width="5.875" style="1" customWidth="1"/>
    <col min="6689" max="6689" width="8.375" style="1" customWidth="1"/>
    <col min="6690" max="6690" width="5.875" style="1" customWidth="1"/>
    <col min="6691" max="6691" width="11.125" style="1" customWidth="1"/>
    <col min="6692" max="6696" width="5.875" style="1" customWidth="1"/>
    <col min="6697" max="6697" width="8.875" style="1" customWidth="1"/>
    <col min="6698" max="6698" width="8.625" style="1" customWidth="1"/>
    <col min="6699" max="6699" width="10.625" style="1" customWidth="1"/>
    <col min="6700" max="6700" width="5.875" style="1" customWidth="1"/>
    <col min="6701" max="6701" width="7.875" style="1" customWidth="1"/>
    <col min="6702" max="6702" width="5.875" style="1" customWidth="1"/>
    <col min="6703" max="6703" width="8.125" style="1" customWidth="1"/>
    <col min="6704" max="6708" width="5.875" style="1" customWidth="1"/>
    <col min="6709" max="6912" width="9" style="1"/>
    <col min="6913" max="6913" width="3.75" style="1" customWidth="1"/>
    <col min="6914" max="6914" width="35.625" style="1" customWidth="1"/>
    <col min="6915" max="6916" width="13.75" style="1" customWidth="1"/>
    <col min="6917" max="6917" width="29.5" style="1" customWidth="1"/>
    <col min="6918" max="6918" width="13.75" style="1" customWidth="1"/>
    <col min="6919" max="6919" width="17.375" style="1" customWidth="1"/>
    <col min="6920" max="6920" width="16.125" style="1" customWidth="1"/>
    <col min="6921" max="6923" width="13.75" style="1" customWidth="1"/>
    <col min="6924" max="6924" width="18.25" style="1" customWidth="1"/>
    <col min="6925" max="6925" width="13.75" style="1" customWidth="1"/>
    <col min="6926" max="6927" width="5.875" style="1" customWidth="1"/>
    <col min="6928" max="6928" width="30.375" style="1" customWidth="1"/>
    <col min="6929" max="6929" width="17.25" style="1" customWidth="1"/>
    <col min="6930" max="6931" width="5.875" style="1" customWidth="1"/>
    <col min="6932" max="6932" width="30.375" style="1" customWidth="1"/>
    <col min="6933" max="6933" width="17.25" style="1" customWidth="1"/>
    <col min="6934" max="6935" width="5.875" style="1" customWidth="1"/>
    <col min="6936" max="6936" width="30.375" style="1" customWidth="1"/>
    <col min="6937" max="6937" width="17.25" style="1" customWidth="1"/>
    <col min="6938" max="6939" width="5.875" style="1" customWidth="1"/>
    <col min="6940" max="6940" width="49.125" style="1" customWidth="1"/>
    <col min="6941" max="6941" width="8.375" style="1" customWidth="1"/>
    <col min="6942" max="6942" width="12.375" style="1" customWidth="1"/>
    <col min="6943" max="6943" width="14.375" style="1" customWidth="1"/>
    <col min="6944" max="6944" width="5.875" style="1" customWidth="1"/>
    <col min="6945" max="6945" width="8.375" style="1" customWidth="1"/>
    <col min="6946" max="6946" width="5.875" style="1" customWidth="1"/>
    <col min="6947" max="6947" width="11.125" style="1" customWidth="1"/>
    <col min="6948" max="6952" width="5.875" style="1" customWidth="1"/>
    <col min="6953" max="6953" width="8.875" style="1" customWidth="1"/>
    <col min="6954" max="6954" width="8.625" style="1" customWidth="1"/>
    <col min="6955" max="6955" width="10.625" style="1" customWidth="1"/>
    <col min="6956" max="6956" width="5.875" style="1" customWidth="1"/>
    <col min="6957" max="6957" width="7.875" style="1" customWidth="1"/>
    <col min="6958" max="6958" width="5.875" style="1" customWidth="1"/>
    <col min="6959" max="6959" width="8.125" style="1" customWidth="1"/>
    <col min="6960" max="6964" width="5.875" style="1" customWidth="1"/>
    <col min="6965" max="7168" width="9" style="1"/>
    <col min="7169" max="7169" width="3.75" style="1" customWidth="1"/>
    <col min="7170" max="7170" width="35.625" style="1" customWidth="1"/>
    <col min="7171" max="7172" width="13.75" style="1" customWidth="1"/>
    <col min="7173" max="7173" width="29.5" style="1" customWidth="1"/>
    <col min="7174" max="7174" width="13.75" style="1" customWidth="1"/>
    <col min="7175" max="7175" width="17.375" style="1" customWidth="1"/>
    <col min="7176" max="7176" width="16.125" style="1" customWidth="1"/>
    <col min="7177" max="7179" width="13.75" style="1" customWidth="1"/>
    <col min="7180" max="7180" width="18.25" style="1" customWidth="1"/>
    <col min="7181" max="7181" width="13.75" style="1" customWidth="1"/>
    <col min="7182" max="7183" width="5.875" style="1" customWidth="1"/>
    <col min="7184" max="7184" width="30.375" style="1" customWidth="1"/>
    <col min="7185" max="7185" width="17.25" style="1" customWidth="1"/>
    <col min="7186" max="7187" width="5.875" style="1" customWidth="1"/>
    <col min="7188" max="7188" width="30.375" style="1" customWidth="1"/>
    <col min="7189" max="7189" width="17.25" style="1" customWidth="1"/>
    <col min="7190" max="7191" width="5.875" style="1" customWidth="1"/>
    <col min="7192" max="7192" width="30.375" style="1" customWidth="1"/>
    <col min="7193" max="7193" width="17.25" style="1" customWidth="1"/>
    <col min="7194" max="7195" width="5.875" style="1" customWidth="1"/>
    <col min="7196" max="7196" width="49.125" style="1" customWidth="1"/>
    <col min="7197" max="7197" width="8.375" style="1" customWidth="1"/>
    <col min="7198" max="7198" width="12.375" style="1" customWidth="1"/>
    <col min="7199" max="7199" width="14.375" style="1" customWidth="1"/>
    <col min="7200" max="7200" width="5.875" style="1" customWidth="1"/>
    <col min="7201" max="7201" width="8.375" style="1" customWidth="1"/>
    <col min="7202" max="7202" width="5.875" style="1" customWidth="1"/>
    <col min="7203" max="7203" width="11.125" style="1" customWidth="1"/>
    <col min="7204" max="7208" width="5.875" style="1" customWidth="1"/>
    <col min="7209" max="7209" width="8.875" style="1" customWidth="1"/>
    <col min="7210" max="7210" width="8.625" style="1" customWidth="1"/>
    <col min="7211" max="7211" width="10.625" style="1" customWidth="1"/>
    <col min="7212" max="7212" width="5.875" style="1" customWidth="1"/>
    <col min="7213" max="7213" width="7.875" style="1" customWidth="1"/>
    <col min="7214" max="7214" width="5.875" style="1" customWidth="1"/>
    <col min="7215" max="7215" width="8.125" style="1" customWidth="1"/>
    <col min="7216" max="7220" width="5.875" style="1" customWidth="1"/>
    <col min="7221" max="7424" width="9" style="1"/>
    <col min="7425" max="7425" width="3.75" style="1" customWidth="1"/>
    <col min="7426" max="7426" width="35.625" style="1" customWidth="1"/>
    <col min="7427" max="7428" width="13.75" style="1" customWidth="1"/>
    <col min="7429" max="7429" width="29.5" style="1" customWidth="1"/>
    <col min="7430" max="7430" width="13.75" style="1" customWidth="1"/>
    <col min="7431" max="7431" width="17.375" style="1" customWidth="1"/>
    <col min="7432" max="7432" width="16.125" style="1" customWidth="1"/>
    <col min="7433" max="7435" width="13.75" style="1" customWidth="1"/>
    <col min="7436" max="7436" width="18.25" style="1" customWidth="1"/>
    <col min="7437" max="7437" width="13.75" style="1" customWidth="1"/>
    <col min="7438" max="7439" width="5.875" style="1" customWidth="1"/>
    <col min="7440" max="7440" width="30.375" style="1" customWidth="1"/>
    <col min="7441" max="7441" width="17.25" style="1" customWidth="1"/>
    <col min="7442" max="7443" width="5.875" style="1" customWidth="1"/>
    <col min="7444" max="7444" width="30.375" style="1" customWidth="1"/>
    <col min="7445" max="7445" width="17.25" style="1" customWidth="1"/>
    <col min="7446" max="7447" width="5.875" style="1" customWidth="1"/>
    <col min="7448" max="7448" width="30.375" style="1" customWidth="1"/>
    <col min="7449" max="7449" width="17.25" style="1" customWidth="1"/>
    <col min="7450" max="7451" width="5.875" style="1" customWidth="1"/>
    <col min="7452" max="7452" width="49.125" style="1" customWidth="1"/>
    <col min="7453" max="7453" width="8.375" style="1" customWidth="1"/>
    <col min="7454" max="7454" width="12.375" style="1" customWidth="1"/>
    <col min="7455" max="7455" width="14.375" style="1" customWidth="1"/>
    <col min="7456" max="7456" width="5.875" style="1" customWidth="1"/>
    <col min="7457" max="7457" width="8.375" style="1" customWidth="1"/>
    <col min="7458" max="7458" width="5.875" style="1" customWidth="1"/>
    <col min="7459" max="7459" width="11.125" style="1" customWidth="1"/>
    <col min="7460" max="7464" width="5.875" style="1" customWidth="1"/>
    <col min="7465" max="7465" width="8.875" style="1" customWidth="1"/>
    <col min="7466" max="7466" width="8.625" style="1" customWidth="1"/>
    <col min="7467" max="7467" width="10.625" style="1" customWidth="1"/>
    <col min="7468" max="7468" width="5.875" style="1" customWidth="1"/>
    <col min="7469" max="7469" width="7.875" style="1" customWidth="1"/>
    <col min="7470" max="7470" width="5.875" style="1" customWidth="1"/>
    <col min="7471" max="7471" width="8.125" style="1" customWidth="1"/>
    <col min="7472" max="7476" width="5.875" style="1" customWidth="1"/>
    <col min="7477" max="7680" width="9" style="1"/>
    <col min="7681" max="7681" width="3.75" style="1" customWidth="1"/>
    <col min="7682" max="7682" width="35.625" style="1" customWidth="1"/>
    <col min="7683" max="7684" width="13.75" style="1" customWidth="1"/>
    <col min="7685" max="7685" width="29.5" style="1" customWidth="1"/>
    <col min="7686" max="7686" width="13.75" style="1" customWidth="1"/>
    <col min="7687" max="7687" width="17.375" style="1" customWidth="1"/>
    <col min="7688" max="7688" width="16.125" style="1" customWidth="1"/>
    <col min="7689" max="7691" width="13.75" style="1" customWidth="1"/>
    <col min="7692" max="7692" width="18.25" style="1" customWidth="1"/>
    <col min="7693" max="7693" width="13.75" style="1" customWidth="1"/>
    <col min="7694" max="7695" width="5.875" style="1" customWidth="1"/>
    <col min="7696" max="7696" width="30.375" style="1" customWidth="1"/>
    <col min="7697" max="7697" width="17.25" style="1" customWidth="1"/>
    <col min="7698" max="7699" width="5.875" style="1" customWidth="1"/>
    <col min="7700" max="7700" width="30.375" style="1" customWidth="1"/>
    <col min="7701" max="7701" width="17.25" style="1" customWidth="1"/>
    <col min="7702" max="7703" width="5.875" style="1" customWidth="1"/>
    <col min="7704" max="7704" width="30.375" style="1" customWidth="1"/>
    <col min="7705" max="7705" width="17.25" style="1" customWidth="1"/>
    <col min="7706" max="7707" width="5.875" style="1" customWidth="1"/>
    <col min="7708" max="7708" width="49.125" style="1" customWidth="1"/>
    <col min="7709" max="7709" width="8.375" style="1" customWidth="1"/>
    <col min="7710" max="7710" width="12.375" style="1" customWidth="1"/>
    <col min="7711" max="7711" width="14.375" style="1" customWidth="1"/>
    <col min="7712" max="7712" width="5.875" style="1" customWidth="1"/>
    <col min="7713" max="7713" width="8.375" style="1" customWidth="1"/>
    <col min="7714" max="7714" width="5.875" style="1" customWidth="1"/>
    <col min="7715" max="7715" width="11.125" style="1" customWidth="1"/>
    <col min="7716" max="7720" width="5.875" style="1" customWidth="1"/>
    <col min="7721" max="7721" width="8.875" style="1" customWidth="1"/>
    <col min="7722" max="7722" width="8.625" style="1" customWidth="1"/>
    <col min="7723" max="7723" width="10.625" style="1" customWidth="1"/>
    <col min="7724" max="7724" width="5.875" style="1" customWidth="1"/>
    <col min="7725" max="7725" width="7.875" style="1" customWidth="1"/>
    <col min="7726" max="7726" width="5.875" style="1" customWidth="1"/>
    <col min="7727" max="7727" width="8.125" style="1" customWidth="1"/>
    <col min="7728" max="7732" width="5.875" style="1" customWidth="1"/>
    <col min="7733" max="7936" width="9" style="1"/>
    <col min="7937" max="7937" width="3.75" style="1" customWidth="1"/>
    <col min="7938" max="7938" width="35.625" style="1" customWidth="1"/>
    <col min="7939" max="7940" width="13.75" style="1" customWidth="1"/>
    <col min="7941" max="7941" width="29.5" style="1" customWidth="1"/>
    <col min="7942" max="7942" width="13.75" style="1" customWidth="1"/>
    <col min="7943" max="7943" width="17.375" style="1" customWidth="1"/>
    <col min="7944" max="7944" width="16.125" style="1" customWidth="1"/>
    <col min="7945" max="7947" width="13.75" style="1" customWidth="1"/>
    <col min="7948" max="7948" width="18.25" style="1" customWidth="1"/>
    <col min="7949" max="7949" width="13.75" style="1" customWidth="1"/>
    <col min="7950" max="7951" width="5.875" style="1" customWidth="1"/>
    <col min="7952" max="7952" width="30.375" style="1" customWidth="1"/>
    <col min="7953" max="7953" width="17.25" style="1" customWidth="1"/>
    <col min="7954" max="7955" width="5.875" style="1" customWidth="1"/>
    <col min="7956" max="7956" width="30.375" style="1" customWidth="1"/>
    <col min="7957" max="7957" width="17.25" style="1" customWidth="1"/>
    <col min="7958" max="7959" width="5.875" style="1" customWidth="1"/>
    <col min="7960" max="7960" width="30.375" style="1" customWidth="1"/>
    <col min="7961" max="7961" width="17.25" style="1" customWidth="1"/>
    <col min="7962" max="7963" width="5.875" style="1" customWidth="1"/>
    <col min="7964" max="7964" width="49.125" style="1" customWidth="1"/>
    <col min="7965" max="7965" width="8.375" style="1" customWidth="1"/>
    <col min="7966" max="7966" width="12.375" style="1" customWidth="1"/>
    <col min="7967" max="7967" width="14.375" style="1" customWidth="1"/>
    <col min="7968" max="7968" width="5.875" style="1" customWidth="1"/>
    <col min="7969" max="7969" width="8.375" style="1" customWidth="1"/>
    <col min="7970" max="7970" width="5.875" style="1" customWidth="1"/>
    <col min="7971" max="7971" width="11.125" style="1" customWidth="1"/>
    <col min="7972" max="7976" width="5.875" style="1" customWidth="1"/>
    <col min="7977" max="7977" width="8.875" style="1" customWidth="1"/>
    <col min="7978" max="7978" width="8.625" style="1" customWidth="1"/>
    <col min="7979" max="7979" width="10.625" style="1" customWidth="1"/>
    <col min="7980" max="7980" width="5.875" style="1" customWidth="1"/>
    <col min="7981" max="7981" width="7.875" style="1" customWidth="1"/>
    <col min="7982" max="7982" width="5.875" style="1" customWidth="1"/>
    <col min="7983" max="7983" width="8.125" style="1" customWidth="1"/>
    <col min="7984" max="7988" width="5.875" style="1" customWidth="1"/>
    <col min="7989" max="8192" width="9" style="1"/>
    <col min="8193" max="8193" width="3.75" style="1" customWidth="1"/>
    <col min="8194" max="8194" width="35.625" style="1" customWidth="1"/>
    <col min="8195" max="8196" width="13.75" style="1" customWidth="1"/>
    <col min="8197" max="8197" width="29.5" style="1" customWidth="1"/>
    <col min="8198" max="8198" width="13.75" style="1" customWidth="1"/>
    <col min="8199" max="8199" width="17.375" style="1" customWidth="1"/>
    <col min="8200" max="8200" width="16.125" style="1" customWidth="1"/>
    <col min="8201" max="8203" width="13.75" style="1" customWidth="1"/>
    <col min="8204" max="8204" width="18.25" style="1" customWidth="1"/>
    <col min="8205" max="8205" width="13.75" style="1" customWidth="1"/>
    <col min="8206" max="8207" width="5.875" style="1" customWidth="1"/>
    <col min="8208" max="8208" width="30.375" style="1" customWidth="1"/>
    <col min="8209" max="8209" width="17.25" style="1" customWidth="1"/>
    <col min="8210" max="8211" width="5.875" style="1" customWidth="1"/>
    <col min="8212" max="8212" width="30.375" style="1" customWidth="1"/>
    <col min="8213" max="8213" width="17.25" style="1" customWidth="1"/>
    <col min="8214" max="8215" width="5.875" style="1" customWidth="1"/>
    <col min="8216" max="8216" width="30.375" style="1" customWidth="1"/>
    <col min="8217" max="8217" width="17.25" style="1" customWidth="1"/>
    <col min="8218" max="8219" width="5.875" style="1" customWidth="1"/>
    <col min="8220" max="8220" width="49.125" style="1" customWidth="1"/>
    <col min="8221" max="8221" width="8.375" style="1" customWidth="1"/>
    <col min="8222" max="8222" width="12.375" style="1" customWidth="1"/>
    <col min="8223" max="8223" width="14.375" style="1" customWidth="1"/>
    <col min="8224" max="8224" width="5.875" style="1" customWidth="1"/>
    <col min="8225" max="8225" width="8.375" style="1" customWidth="1"/>
    <col min="8226" max="8226" width="5.875" style="1" customWidth="1"/>
    <col min="8227" max="8227" width="11.125" style="1" customWidth="1"/>
    <col min="8228" max="8232" width="5.875" style="1" customWidth="1"/>
    <col min="8233" max="8233" width="8.875" style="1" customWidth="1"/>
    <col min="8234" max="8234" width="8.625" style="1" customWidth="1"/>
    <col min="8235" max="8235" width="10.625" style="1" customWidth="1"/>
    <col min="8236" max="8236" width="5.875" style="1" customWidth="1"/>
    <col min="8237" max="8237" width="7.875" style="1" customWidth="1"/>
    <col min="8238" max="8238" width="5.875" style="1" customWidth="1"/>
    <col min="8239" max="8239" width="8.125" style="1" customWidth="1"/>
    <col min="8240" max="8244" width="5.875" style="1" customWidth="1"/>
    <col min="8245" max="8448" width="9" style="1"/>
    <col min="8449" max="8449" width="3.75" style="1" customWidth="1"/>
    <col min="8450" max="8450" width="35.625" style="1" customWidth="1"/>
    <col min="8451" max="8452" width="13.75" style="1" customWidth="1"/>
    <col min="8453" max="8453" width="29.5" style="1" customWidth="1"/>
    <col min="8454" max="8454" width="13.75" style="1" customWidth="1"/>
    <col min="8455" max="8455" width="17.375" style="1" customWidth="1"/>
    <col min="8456" max="8456" width="16.125" style="1" customWidth="1"/>
    <col min="8457" max="8459" width="13.75" style="1" customWidth="1"/>
    <col min="8460" max="8460" width="18.25" style="1" customWidth="1"/>
    <col min="8461" max="8461" width="13.75" style="1" customWidth="1"/>
    <col min="8462" max="8463" width="5.875" style="1" customWidth="1"/>
    <col min="8464" max="8464" width="30.375" style="1" customWidth="1"/>
    <col min="8465" max="8465" width="17.25" style="1" customWidth="1"/>
    <col min="8466" max="8467" width="5.875" style="1" customWidth="1"/>
    <col min="8468" max="8468" width="30.375" style="1" customWidth="1"/>
    <col min="8469" max="8469" width="17.25" style="1" customWidth="1"/>
    <col min="8470" max="8471" width="5.875" style="1" customWidth="1"/>
    <col min="8472" max="8472" width="30.375" style="1" customWidth="1"/>
    <col min="8473" max="8473" width="17.25" style="1" customWidth="1"/>
    <col min="8474" max="8475" width="5.875" style="1" customWidth="1"/>
    <col min="8476" max="8476" width="49.125" style="1" customWidth="1"/>
    <col min="8477" max="8477" width="8.375" style="1" customWidth="1"/>
    <col min="8478" max="8478" width="12.375" style="1" customWidth="1"/>
    <col min="8479" max="8479" width="14.375" style="1" customWidth="1"/>
    <col min="8480" max="8480" width="5.875" style="1" customWidth="1"/>
    <col min="8481" max="8481" width="8.375" style="1" customWidth="1"/>
    <col min="8482" max="8482" width="5.875" style="1" customWidth="1"/>
    <col min="8483" max="8483" width="11.125" style="1" customWidth="1"/>
    <col min="8484" max="8488" width="5.875" style="1" customWidth="1"/>
    <col min="8489" max="8489" width="8.875" style="1" customWidth="1"/>
    <col min="8490" max="8490" width="8.625" style="1" customWidth="1"/>
    <col min="8491" max="8491" width="10.625" style="1" customWidth="1"/>
    <col min="8492" max="8492" width="5.875" style="1" customWidth="1"/>
    <col min="8493" max="8493" width="7.875" style="1" customWidth="1"/>
    <col min="8494" max="8494" width="5.875" style="1" customWidth="1"/>
    <col min="8495" max="8495" width="8.125" style="1" customWidth="1"/>
    <col min="8496" max="8500" width="5.875" style="1" customWidth="1"/>
    <col min="8501" max="8704" width="9" style="1"/>
    <col min="8705" max="8705" width="3.75" style="1" customWidth="1"/>
    <col min="8706" max="8706" width="35.625" style="1" customWidth="1"/>
    <col min="8707" max="8708" width="13.75" style="1" customWidth="1"/>
    <col min="8709" max="8709" width="29.5" style="1" customWidth="1"/>
    <col min="8710" max="8710" width="13.75" style="1" customWidth="1"/>
    <col min="8711" max="8711" width="17.375" style="1" customWidth="1"/>
    <col min="8712" max="8712" width="16.125" style="1" customWidth="1"/>
    <col min="8713" max="8715" width="13.75" style="1" customWidth="1"/>
    <col min="8716" max="8716" width="18.25" style="1" customWidth="1"/>
    <col min="8717" max="8717" width="13.75" style="1" customWidth="1"/>
    <col min="8718" max="8719" width="5.875" style="1" customWidth="1"/>
    <col min="8720" max="8720" width="30.375" style="1" customWidth="1"/>
    <col min="8721" max="8721" width="17.25" style="1" customWidth="1"/>
    <col min="8722" max="8723" width="5.875" style="1" customWidth="1"/>
    <col min="8724" max="8724" width="30.375" style="1" customWidth="1"/>
    <col min="8725" max="8725" width="17.25" style="1" customWidth="1"/>
    <col min="8726" max="8727" width="5.875" style="1" customWidth="1"/>
    <col min="8728" max="8728" width="30.375" style="1" customWidth="1"/>
    <col min="8729" max="8729" width="17.25" style="1" customWidth="1"/>
    <col min="8730" max="8731" width="5.875" style="1" customWidth="1"/>
    <col min="8732" max="8732" width="49.125" style="1" customWidth="1"/>
    <col min="8733" max="8733" width="8.375" style="1" customWidth="1"/>
    <col min="8734" max="8734" width="12.375" style="1" customWidth="1"/>
    <col min="8735" max="8735" width="14.375" style="1" customWidth="1"/>
    <col min="8736" max="8736" width="5.875" style="1" customWidth="1"/>
    <col min="8737" max="8737" width="8.375" style="1" customWidth="1"/>
    <col min="8738" max="8738" width="5.875" style="1" customWidth="1"/>
    <col min="8739" max="8739" width="11.125" style="1" customWidth="1"/>
    <col min="8740" max="8744" width="5.875" style="1" customWidth="1"/>
    <col min="8745" max="8745" width="8.875" style="1" customWidth="1"/>
    <col min="8746" max="8746" width="8.625" style="1" customWidth="1"/>
    <col min="8747" max="8747" width="10.625" style="1" customWidth="1"/>
    <col min="8748" max="8748" width="5.875" style="1" customWidth="1"/>
    <col min="8749" max="8749" width="7.875" style="1" customWidth="1"/>
    <col min="8750" max="8750" width="5.875" style="1" customWidth="1"/>
    <col min="8751" max="8751" width="8.125" style="1" customWidth="1"/>
    <col min="8752" max="8756" width="5.875" style="1" customWidth="1"/>
    <col min="8757" max="8960" width="9" style="1"/>
    <col min="8961" max="8961" width="3.75" style="1" customWidth="1"/>
    <col min="8962" max="8962" width="35.625" style="1" customWidth="1"/>
    <col min="8963" max="8964" width="13.75" style="1" customWidth="1"/>
    <col min="8965" max="8965" width="29.5" style="1" customWidth="1"/>
    <col min="8966" max="8966" width="13.75" style="1" customWidth="1"/>
    <col min="8967" max="8967" width="17.375" style="1" customWidth="1"/>
    <col min="8968" max="8968" width="16.125" style="1" customWidth="1"/>
    <col min="8969" max="8971" width="13.75" style="1" customWidth="1"/>
    <col min="8972" max="8972" width="18.25" style="1" customWidth="1"/>
    <col min="8973" max="8973" width="13.75" style="1" customWidth="1"/>
    <col min="8974" max="8975" width="5.875" style="1" customWidth="1"/>
    <col min="8976" max="8976" width="30.375" style="1" customWidth="1"/>
    <col min="8977" max="8977" width="17.25" style="1" customWidth="1"/>
    <col min="8978" max="8979" width="5.875" style="1" customWidth="1"/>
    <col min="8980" max="8980" width="30.375" style="1" customWidth="1"/>
    <col min="8981" max="8981" width="17.25" style="1" customWidth="1"/>
    <col min="8982" max="8983" width="5.875" style="1" customWidth="1"/>
    <col min="8984" max="8984" width="30.375" style="1" customWidth="1"/>
    <col min="8985" max="8985" width="17.25" style="1" customWidth="1"/>
    <col min="8986" max="8987" width="5.875" style="1" customWidth="1"/>
    <col min="8988" max="8988" width="49.125" style="1" customWidth="1"/>
    <col min="8989" max="8989" width="8.375" style="1" customWidth="1"/>
    <col min="8990" max="8990" width="12.375" style="1" customWidth="1"/>
    <col min="8991" max="8991" width="14.375" style="1" customWidth="1"/>
    <col min="8992" max="8992" width="5.875" style="1" customWidth="1"/>
    <col min="8993" max="8993" width="8.375" style="1" customWidth="1"/>
    <col min="8994" max="8994" width="5.875" style="1" customWidth="1"/>
    <col min="8995" max="8995" width="11.125" style="1" customWidth="1"/>
    <col min="8996" max="9000" width="5.875" style="1" customWidth="1"/>
    <col min="9001" max="9001" width="8.875" style="1" customWidth="1"/>
    <col min="9002" max="9002" width="8.625" style="1" customWidth="1"/>
    <col min="9003" max="9003" width="10.625" style="1" customWidth="1"/>
    <col min="9004" max="9004" width="5.875" style="1" customWidth="1"/>
    <col min="9005" max="9005" width="7.875" style="1" customWidth="1"/>
    <col min="9006" max="9006" width="5.875" style="1" customWidth="1"/>
    <col min="9007" max="9007" width="8.125" style="1" customWidth="1"/>
    <col min="9008" max="9012" width="5.875" style="1" customWidth="1"/>
    <col min="9013" max="9216" width="9" style="1"/>
    <col min="9217" max="9217" width="3.75" style="1" customWidth="1"/>
    <col min="9218" max="9218" width="35.625" style="1" customWidth="1"/>
    <col min="9219" max="9220" width="13.75" style="1" customWidth="1"/>
    <col min="9221" max="9221" width="29.5" style="1" customWidth="1"/>
    <col min="9222" max="9222" width="13.75" style="1" customWidth="1"/>
    <col min="9223" max="9223" width="17.375" style="1" customWidth="1"/>
    <col min="9224" max="9224" width="16.125" style="1" customWidth="1"/>
    <col min="9225" max="9227" width="13.75" style="1" customWidth="1"/>
    <col min="9228" max="9228" width="18.25" style="1" customWidth="1"/>
    <col min="9229" max="9229" width="13.75" style="1" customWidth="1"/>
    <col min="9230" max="9231" width="5.875" style="1" customWidth="1"/>
    <col min="9232" max="9232" width="30.375" style="1" customWidth="1"/>
    <col min="9233" max="9233" width="17.25" style="1" customWidth="1"/>
    <col min="9234" max="9235" width="5.875" style="1" customWidth="1"/>
    <col min="9236" max="9236" width="30.375" style="1" customWidth="1"/>
    <col min="9237" max="9237" width="17.25" style="1" customWidth="1"/>
    <col min="9238" max="9239" width="5.875" style="1" customWidth="1"/>
    <col min="9240" max="9240" width="30.375" style="1" customWidth="1"/>
    <col min="9241" max="9241" width="17.25" style="1" customWidth="1"/>
    <col min="9242" max="9243" width="5.875" style="1" customWidth="1"/>
    <col min="9244" max="9244" width="49.125" style="1" customWidth="1"/>
    <col min="9245" max="9245" width="8.375" style="1" customWidth="1"/>
    <col min="9246" max="9246" width="12.375" style="1" customWidth="1"/>
    <col min="9247" max="9247" width="14.375" style="1" customWidth="1"/>
    <col min="9248" max="9248" width="5.875" style="1" customWidth="1"/>
    <col min="9249" max="9249" width="8.375" style="1" customWidth="1"/>
    <col min="9250" max="9250" width="5.875" style="1" customWidth="1"/>
    <col min="9251" max="9251" width="11.125" style="1" customWidth="1"/>
    <col min="9252" max="9256" width="5.875" style="1" customWidth="1"/>
    <col min="9257" max="9257" width="8.875" style="1" customWidth="1"/>
    <col min="9258" max="9258" width="8.625" style="1" customWidth="1"/>
    <col min="9259" max="9259" width="10.625" style="1" customWidth="1"/>
    <col min="9260" max="9260" width="5.875" style="1" customWidth="1"/>
    <col min="9261" max="9261" width="7.875" style="1" customWidth="1"/>
    <col min="9262" max="9262" width="5.875" style="1" customWidth="1"/>
    <col min="9263" max="9263" width="8.125" style="1" customWidth="1"/>
    <col min="9264" max="9268" width="5.875" style="1" customWidth="1"/>
    <col min="9269" max="9472" width="9" style="1"/>
    <col min="9473" max="9473" width="3.75" style="1" customWidth="1"/>
    <col min="9474" max="9474" width="35.625" style="1" customWidth="1"/>
    <col min="9475" max="9476" width="13.75" style="1" customWidth="1"/>
    <col min="9477" max="9477" width="29.5" style="1" customWidth="1"/>
    <col min="9478" max="9478" width="13.75" style="1" customWidth="1"/>
    <col min="9479" max="9479" width="17.375" style="1" customWidth="1"/>
    <col min="9480" max="9480" width="16.125" style="1" customWidth="1"/>
    <col min="9481" max="9483" width="13.75" style="1" customWidth="1"/>
    <col min="9484" max="9484" width="18.25" style="1" customWidth="1"/>
    <col min="9485" max="9485" width="13.75" style="1" customWidth="1"/>
    <col min="9486" max="9487" width="5.875" style="1" customWidth="1"/>
    <col min="9488" max="9488" width="30.375" style="1" customWidth="1"/>
    <col min="9489" max="9489" width="17.25" style="1" customWidth="1"/>
    <col min="9490" max="9491" width="5.875" style="1" customWidth="1"/>
    <col min="9492" max="9492" width="30.375" style="1" customWidth="1"/>
    <col min="9493" max="9493" width="17.25" style="1" customWidth="1"/>
    <col min="9494" max="9495" width="5.875" style="1" customWidth="1"/>
    <col min="9496" max="9496" width="30.375" style="1" customWidth="1"/>
    <col min="9497" max="9497" width="17.25" style="1" customWidth="1"/>
    <col min="9498" max="9499" width="5.875" style="1" customWidth="1"/>
    <col min="9500" max="9500" width="49.125" style="1" customWidth="1"/>
    <col min="9501" max="9501" width="8.375" style="1" customWidth="1"/>
    <col min="9502" max="9502" width="12.375" style="1" customWidth="1"/>
    <col min="9503" max="9503" width="14.375" style="1" customWidth="1"/>
    <col min="9504" max="9504" width="5.875" style="1" customWidth="1"/>
    <col min="9505" max="9505" width="8.375" style="1" customWidth="1"/>
    <col min="9506" max="9506" width="5.875" style="1" customWidth="1"/>
    <col min="9507" max="9507" width="11.125" style="1" customWidth="1"/>
    <col min="9508" max="9512" width="5.875" style="1" customWidth="1"/>
    <col min="9513" max="9513" width="8.875" style="1" customWidth="1"/>
    <col min="9514" max="9514" width="8.625" style="1" customWidth="1"/>
    <col min="9515" max="9515" width="10.625" style="1" customWidth="1"/>
    <col min="9516" max="9516" width="5.875" style="1" customWidth="1"/>
    <col min="9517" max="9517" width="7.875" style="1" customWidth="1"/>
    <col min="9518" max="9518" width="5.875" style="1" customWidth="1"/>
    <col min="9519" max="9519" width="8.125" style="1" customWidth="1"/>
    <col min="9520" max="9524" width="5.875" style="1" customWidth="1"/>
    <col min="9525" max="9728" width="9" style="1"/>
    <col min="9729" max="9729" width="3.75" style="1" customWidth="1"/>
    <col min="9730" max="9730" width="35.625" style="1" customWidth="1"/>
    <col min="9731" max="9732" width="13.75" style="1" customWidth="1"/>
    <col min="9733" max="9733" width="29.5" style="1" customWidth="1"/>
    <col min="9734" max="9734" width="13.75" style="1" customWidth="1"/>
    <col min="9735" max="9735" width="17.375" style="1" customWidth="1"/>
    <col min="9736" max="9736" width="16.125" style="1" customWidth="1"/>
    <col min="9737" max="9739" width="13.75" style="1" customWidth="1"/>
    <col min="9740" max="9740" width="18.25" style="1" customWidth="1"/>
    <col min="9741" max="9741" width="13.75" style="1" customWidth="1"/>
    <col min="9742" max="9743" width="5.875" style="1" customWidth="1"/>
    <col min="9744" max="9744" width="30.375" style="1" customWidth="1"/>
    <col min="9745" max="9745" width="17.25" style="1" customWidth="1"/>
    <col min="9746" max="9747" width="5.875" style="1" customWidth="1"/>
    <col min="9748" max="9748" width="30.375" style="1" customWidth="1"/>
    <col min="9749" max="9749" width="17.25" style="1" customWidth="1"/>
    <col min="9750" max="9751" width="5.875" style="1" customWidth="1"/>
    <col min="9752" max="9752" width="30.375" style="1" customWidth="1"/>
    <col min="9753" max="9753" width="17.25" style="1" customWidth="1"/>
    <col min="9754" max="9755" width="5.875" style="1" customWidth="1"/>
    <col min="9756" max="9756" width="49.125" style="1" customWidth="1"/>
    <col min="9757" max="9757" width="8.375" style="1" customWidth="1"/>
    <col min="9758" max="9758" width="12.375" style="1" customWidth="1"/>
    <col min="9759" max="9759" width="14.375" style="1" customWidth="1"/>
    <col min="9760" max="9760" width="5.875" style="1" customWidth="1"/>
    <col min="9761" max="9761" width="8.375" style="1" customWidth="1"/>
    <col min="9762" max="9762" width="5.875" style="1" customWidth="1"/>
    <col min="9763" max="9763" width="11.125" style="1" customWidth="1"/>
    <col min="9764" max="9768" width="5.875" style="1" customWidth="1"/>
    <col min="9769" max="9769" width="8.875" style="1" customWidth="1"/>
    <col min="9770" max="9770" width="8.625" style="1" customWidth="1"/>
    <col min="9771" max="9771" width="10.625" style="1" customWidth="1"/>
    <col min="9772" max="9772" width="5.875" style="1" customWidth="1"/>
    <col min="9773" max="9773" width="7.875" style="1" customWidth="1"/>
    <col min="9774" max="9774" width="5.875" style="1" customWidth="1"/>
    <col min="9775" max="9775" width="8.125" style="1" customWidth="1"/>
    <col min="9776" max="9780" width="5.875" style="1" customWidth="1"/>
    <col min="9781" max="9984" width="9" style="1"/>
    <col min="9985" max="9985" width="3.75" style="1" customWidth="1"/>
    <col min="9986" max="9986" width="35.625" style="1" customWidth="1"/>
    <col min="9987" max="9988" width="13.75" style="1" customWidth="1"/>
    <col min="9989" max="9989" width="29.5" style="1" customWidth="1"/>
    <col min="9990" max="9990" width="13.75" style="1" customWidth="1"/>
    <col min="9991" max="9991" width="17.375" style="1" customWidth="1"/>
    <col min="9992" max="9992" width="16.125" style="1" customWidth="1"/>
    <col min="9993" max="9995" width="13.75" style="1" customWidth="1"/>
    <col min="9996" max="9996" width="18.25" style="1" customWidth="1"/>
    <col min="9997" max="9997" width="13.75" style="1" customWidth="1"/>
    <col min="9998" max="9999" width="5.875" style="1" customWidth="1"/>
    <col min="10000" max="10000" width="30.375" style="1" customWidth="1"/>
    <col min="10001" max="10001" width="17.25" style="1" customWidth="1"/>
    <col min="10002" max="10003" width="5.875" style="1" customWidth="1"/>
    <col min="10004" max="10004" width="30.375" style="1" customWidth="1"/>
    <col min="10005" max="10005" width="17.25" style="1" customWidth="1"/>
    <col min="10006" max="10007" width="5.875" style="1" customWidth="1"/>
    <col min="10008" max="10008" width="30.375" style="1" customWidth="1"/>
    <col min="10009" max="10009" width="17.25" style="1" customWidth="1"/>
    <col min="10010" max="10011" width="5.875" style="1" customWidth="1"/>
    <col min="10012" max="10012" width="49.125" style="1" customWidth="1"/>
    <col min="10013" max="10013" width="8.375" style="1" customWidth="1"/>
    <col min="10014" max="10014" width="12.375" style="1" customWidth="1"/>
    <col min="10015" max="10015" width="14.375" style="1" customWidth="1"/>
    <col min="10016" max="10016" width="5.875" style="1" customWidth="1"/>
    <col min="10017" max="10017" width="8.375" style="1" customWidth="1"/>
    <col min="10018" max="10018" width="5.875" style="1" customWidth="1"/>
    <col min="10019" max="10019" width="11.125" style="1" customWidth="1"/>
    <col min="10020" max="10024" width="5.875" style="1" customWidth="1"/>
    <col min="10025" max="10025" width="8.875" style="1" customWidth="1"/>
    <col min="10026" max="10026" width="8.625" style="1" customWidth="1"/>
    <col min="10027" max="10027" width="10.625" style="1" customWidth="1"/>
    <col min="10028" max="10028" width="5.875" style="1" customWidth="1"/>
    <col min="10029" max="10029" width="7.875" style="1" customWidth="1"/>
    <col min="10030" max="10030" width="5.875" style="1" customWidth="1"/>
    <col min="10031" max="10031" width="8.125" style="1" customWidth="1"/>
    <col min="10032" max="10036" width="5.875" style="1" customWidth="1"/>
    <col min="10037" max="10240" width="9" style="1"/>
    <col min="10241" max="10241" width="3.75" style="1" customWidth="1"/>
    <col min="10242" max="10242" width="35.625" style="1" customWidth="1"/>
    <col min="10243" max="10244" width="13.75" style="1" customWidth="1"/>
    <col min="10245" max="10245" width="29.5" style="1" customWidth="1"/>
    <col min="10246" max="10246" width="13.75" style="1" customWidth="1"/>
    <col min="10247" max="10247" width="17.375" style="1" customWidth="1"/>
    <col min="10248" max="10248" width="16.125" style="1" customWidth="1"/>
    <col min="10249" max="10251" width="13.75" style="1" customWidth="1"/>
    <col min="10252" max="10252" width="18.25" style="1" customWidth="1"/>
    <col min="10253" max="10253" width="13.75" style="1" customWidth="1"/>
    <col min="10254" max="10255" width="5.875" style="1" customWidth="1"/>
    <col min="10256" max="10256" width="30.375" style="1" customWidth="1"/>
    <col min="10257" max="10257" width="17.25" style="1" customWidth="1"/>
    <col min="10258" max="10259" width="5.875" style="1" customWidth="1"/>
    <col min="10260" max="10260" width="30.375" style="1" customWidth="1"/>
    <col min="10261" max="10261" width="17.25" style="1" customWidth="1"/>
    <col min="10262" max="10263" width="5.875" style="1" customWidth="1"/>
    <col min="10264" max="10264" width="30.375" style="1" customWidth="1"/>
    <col min="10265" max="10265" width="17.25" style="1" customWidth="1"/>
    <col min="10266" max="10267" width="5.875" style="1" customWidth="1"/>
    <col min="10268" max="10268" width="49.125" style="1" customWidth="1"/>
    <col min="10269" max="10269" width="8.375" style="1" customWidth="1"/>
    <col min="10270" max="10270" width="12.375" style="1" customWidth="1"/>
    <col min="10271" max="10271" width="14.375" style="1" customWidth="1"/>
    <col min="10272" max="10272" width="5.875" style="1" customWidth="1"/>
    <col min="10273" max="10273" width="8.375" style="1" customWidth="1"/>
    <col min="10274" max="10274" width="5.875" style="1" customWidth="1"/>
    <col min="10275" max="10275" width="11.125" style="1" customWidth="1"/>
    <col min="10276" max="10280" width="5.875" style="1" customWidth="1"/>
    <col min="10281" max="10281" width="8.875" style="1" customWidth="1"/>
    <col min="10282" max="10282" width="8.625" style="1" customWidth="1"/>
    <col min="10283" max="10283" width="10.625" style="1" customWidth="1"/>
    <col min="10284" max="10284" width="5.875" style="1" customWidth="1"/>
    <col min="10285" max="10285" width="7.875" style="1" customWidth="1"/>
    <col min="10286" max="10286" width="5.875" style="1" customWidth="1"/>
    <col min="10287" max="10287" width="8.125" style="1" customWidth="1"/>
    <col min="10288" max="10292" width="5.875" style="1" customWidth="1"/>
    <col min="10293" max="10496" width="9" style="1"/>
    <col min="10497" max="10497" width="3.75" style="1" customWidth="1"/>
    <col min="10498" max="10498" width="35.625" style="1" customWidth="1"/>
    <col min="10499" max="10500" width="13.75" style="1" customWidth="1"/>
    <col min="10501" max="10501" width="29.5" style="1" customWidth="1"/>
    <col min="10502" max="10502" width="13.75" style="1" customWidth="1"/>
    <col min="10503" max="10503" width="17.375" style="1" customWidth="1"/>
    <col min="10504" max="10504" width="16.125" style="1" customWidth="1"/>
    <col min="10505" max="10507" width="13.75" style="1" customWidth="1"/>
    <col min="10508" max="10508" width="18.25" style="1" customWidth="1"/>
    <col min="10509" max="10509" width="13.75" style="1" customWidth="1"/>
    <col min="10510" max="10511" width="5.875" style="1" customWidth="1"/>
    <col min="10512" max="10512" width="30.375" style="1" customWidth="1"/>
    <col min="10513" max="10513" width="17.25" style="1" customWidth="1"/>
    <col min="10514" max="10515" width="5.875" style="1" customWidth="1"/>
    <col min="10516" max="10516" width="30.375" style="1" customWidth="1"/>
    <col min="10517" max="10517" width="17.25" style="1" customWidth="1"/>
    <col min="10518" max="10519" width="5.875" style="1" customWidth="1"/>
    <col min="10520" max="10520" width="30.375" style="1" customWidth="1"/>
    <col min="10521" max="10521" width="17.25" style="1" customWidth="1"/>
    <col min="10522" max="10523" width="5.875" style="1" customWidth="1"/>
    <col min="10524" max="10524" width="49.125" style="1" customWidth="1"/>
    <col min="10525" max="10525" width="8.375" style="1" customWidth="1"/>
    <col min="10526" max="10526" width="12.375" style="1" customWidth="1"/>
    <col min="10527" max="10527" width="14.375" style="1" customWidth="1"/>
    <col min="10528" max="10528" width="5.875" style="1" customWidth="1"/>
    <col min="10529" max="10529" width="8.375" style="1" customWidth="1"/>
    <col min="10530" max="10530" width="5.875" style="1" customWidth="1"/>
    <col min="10531" max="10531" width="11.125" style="1" customWidth="1"/>
    <col min="10532" max="10536" width="5.875" style="1" customWidth="1"/>
    <col min="10537" max="10537" width="8.875" style="1" customWidth="1"/>
    <col min="10538" max="10538" width="8.625" style="1" customWidth="1"/>
    <col min="10539" max="10539" width="10.625" style="1" customWidth="1"/>
    <col min="10540" max="10540" width="5.875" style="1" customWidth="1"/>
    <col min="10541" max="10541" width="7.875" style="1" customWidth="1"/>
    <col min="10542" max="10542" width="5.875" style="1" customWidth="1"/>
    <col min="10543" max="10543" width="8.125" style="1" customWidth="1"/>
    <col min="10544" max="10548" width="5.875" style="1" customWidth="1"/>
    <col min="10549" max="10752" width="9" style="1"/>
    <col min="10753" max="10753" width="3.75" style="1" customWidth="1"/>
    <col min="10754" max="10754" width="35.625" style="1" customWidth="1"/>
    <col min="10755" max="10756" width="13.75" style="1" customWidth="1"/>
    <col min="10757" max="10757" width="29.5" style="1" customWidth="1"/>
    <col min="10758" max="10758" width="13.75" style="1" customWidth="1"/>
    <col min="10759" max="10759" width="17.375" style="1" customWidth="1"/>
    <col min="10760" max="10760" width="16.125" style="1" customWidth="1"/>
    <col min="10761" max="10763" width="13.75" style="1" customWidth="1"/>
    <col min="10764" max="10764" width="18.25" style="1" customWidth="1"/>
    <col min="10765" max="10765" width="13.75" style="1" customWidth="1"/>
    <col min="10766" max="10767" width="5.875" style="1" customWidth="1"/>
    <col min="10768" max="10768" width="30.375" style="1" customWidth="1"/>
    <col min="10769" max="10769" width="17.25" style="1" customWidth="1"/>
    <col min="10770" max="10771" width="5.875" style="1" customWidth="1"/>
    <col min="10772" max="10772" width="30.375" style="1" customWidth="1"/>
    <col min="10773" max="10773" width="17.25" style="1" customWidth="1"/>
    <col min="10774" max="10775" width="5.875" style="1" customWidth="1"/>
    <col min="10776" max="10776" width="30.375" style="1" customWidth="1"/>
    <col min="10777" max="10777" width="17.25" style="1" customWidth="1"/>
    <col min="10778" max="10779" width="5.875" style="1" customWidth="1"/>
    <col min="10780" max="10780" width="49.125" style="1" customWidth="1"/>
    <col min="10781" max="10781" width="8.375" style="1" customWidth="1"/>
    <col min="10782" max="10782" width="12.375" style="1" customWidth="1"/>
    <col min="10783" max="10783" width="14.375" style="1" customWidth="1"/>
    <col min="10784" max="10784" width="5.875" style="1" customWidth="1"/>
    <col min="10785" max="10785" width="8.375" style="1" customWidth="1"/>
    <col min="10786" max="10786" width="5.875" style="1" customWidth="1"/>
    <col min="10787" max="10787" width="11.125" style="1" customWidth="1"/>
    <col min="10788" max="10792" width="5.875" style="1" customWidth="1"/>
    <col min="10793" max="10793" width="8.875" style="1" customWidth="1"/>
    <col min="10794" max="10794" width="8.625" style="1" customWidth="1"/>
    <col min="10795" max="10795" width="10.625" style="1" customWidth="1"/>
    <col min="10796" max="10796" width="5.875" style="1" customWidth="1"/>
    <col min="10797" max="10797" width="7.875" style="1" customWidth="1"/>
    <col min="10798" max="10798" width="5.875" style="1" customWidth="1"/>
    <col min="10799" max="10799" width="8.125" style="1" customWidth="1"/>
    <col min="10800" max="10804" width="5.875" style="1" customWidth="1"/>
    <col min="10805" max="11008" width="9" style="1"/>
    <col min="11009" max="11009" width="3.75" style="1" customWidth="1"/>
    <col min="11010" max="11010" width="35.625" style="1" customWidth="1"/>
    <col min="11011" max="11012" width="13.75" style="1" customWidth="1"/>
    <col min="11013" max="11013" width="29.5" style="1" customWidth="1"/>
    <col min="11014" max="11014" width="13.75" style="1" customWidth="1"/>
    <col min="11015" max="11015" width="17.375" style="1" customWidth="1"/>
    <col min="11016" max="11016" width="16.125" style="1" customWidth="1"/>
    <col min="11017" max="11019" width="13.75" style="1" customWidth="1"/>
    <col min="11020" max="11020" width="18.25" style="1" customWidth="1"/>
    <col min="11021" max="11021" width="13.75" style="1" customWidth="1"/>
    <col min="11022" max="11023" width="5.875" style="1" customWidth="1"/>
    <col min="11024" max="11024" width="30.375" style="1" customWidth="1"/>
    <col min="11025" max="11025" width="17.25" style="1" customWidth="1"/>
    <col min="11026" max="11027" width="5.875" style="1" customWidth="1"/>
    <col min="11028" max="11028" width="30.375" style="1" customWidth="1"/>
    <col min="11029" max="11029" width="17.25" style="1" customWidth="1"/>
    <col min="11030" max="11031" width="5.875" style="1" customWidth="1"/>
    <col min="11032" max="11032" width="30.375" style="1" customWidth="1"/>
    <col min="11033" max="11033" width="17.25" style="1" customWidth="1"/>
    <col min="11034" max="11035" width="5.875" style="1" customWidth="1"/>
    <col min="11036" max="11036" width="49.125" style="1" customWidth="1"/>
    <col min="11037" max="11037" width="8.375" style="1" customWidth="1"/>
    <col min="11038" max="11038" width="12.375" style="1" customWidth="1"/>
    <col min="11039" max="11039" width="14.375" style="1" customWidth="1"/>
    <col min="11040" max="11040" width="5.875" style="1" customWidth="1"/>
    <col min="11041" max="11041" width="8.375" style="1" customWidth="1"/>
    <col min="11042" max="11042" width="5.875" style="1" customWidth="1"/>
    <col min="11043" max="11043" width="11.125" style="1" customWidth="1"/>
    <col min="11044" max="11048" width="5.875" style="1" customWidth="1"/>
    <col min="11049" max="11049" width="8.875" style="1" customWidth="1"/>
    <col min="11050" max="11050" width="8.625" style="1" customWidth="1"/>
    <col min="11051" max="11051" width="10.625" style="1" customWidth="1"/>
    <col min="11052" max="11052" width="5.875" style="1" customWidth="1"/>
    <col min="11053" max="11053" width="7.875" style="1" customWidth="1"/>
    <col min="11054" max="11054" width="5.875" style="1" customWidth="1"/>
    <col min="11055" max="11055" width="8.125" style="1" customWidth="1"/>
    <col min="11056" max="11060" width="5.875" style="1" customWidth="1"/>
    <col min="11061" max="11264" width="9" style="1"/>
    <col min="11265" max="11265" width="3.75" style="1" customWidth="1"/>
    <col min="11266" max="11266" width="35.625" style="1" customWidth="1"/>
    <col min="11267" max="11268" width="13.75" style="1" customWidth="1"/>
    <col min="11269" max="11269" width="29.5" style="1" customWidth="1"/>
    <col min="11270" max="11270" width="13.75" style="1" customWidth="1"/>
    <col min="11271" max="11271" width="17.375" style="1" customWidth="1"/>
    <col min="11272" max="11272" width="16.125" style="1" customWidth="1"/>
    <col min="11273" max="11275" width="13.75" style="1" customWidth="1"/>
    <col min="11276" max="11276" width="18.25" style="1" customWidth="1"/>
    <col min="11277" max="11277" width="13.75" style="1" customWidth="1"/>
    <col min="11278" max="11279" width="5.875" style="1" customWidth="1"/>
    <col min="11280" max="11280" width="30.375" style="1" customWidth="1"/>
    <col min="11281" max="11281" width="17.25" style="1" customWidth="1"/>
    <col min="11282" max="11283" width="5.875" style="1" customWidth="1"/>
    <col min="11284" max="11284" width="30.375" style="1" customWidth="1"/>
    <col min="11285" max="11285" width="17.25" style="1" customWidth="1"/>
    <col min="11286" max="11287" width="5.875" style="1" customWidth="1"/>
    <col min="11288" max="11288" width="30.375" style="1" customWidth="1"/>
    <col min="11289" max="11289" width="17.25" style="1" customWidth="1"/>
    <col min="11290" max="11291" width="5.875" style="1" customWidth="1"/>
    <col min="11292" max="11292" width="49.125" style="1" customWidth="1"/>
    <col min="11293" max="11293" width="8.375" style="1" customWidth="1"/>
    <col min="11294" max="11294" width="12.375" style="1" customWidth="1"/>
    <col min="11295" max="11295" width="14.375" style="1" customWidth="1"/>
    <col min="11296" max="11296" width="5.875" style="1" customWidth="1"/>
    <col min="11297" max="11297" width="8.375" style="1" customWidth="1"/>
    <col min="11298" max="11298" width="5.875" style="1" customWidth="1"/>
    <col min="11299" max="11299" width="11.125" style="1" customWidth="1"/>
    <col min="11300" max="11304" width="5.875" style="1" customWidth="1"/>
    <col min="11305" max="11305" width="8.875" style="1" customWidth="1"/>
    <col min="11306" max="11306" width="8.625" style="1" customWidth="1"/>
    <col min="11307" max="11307" width="10.625" style="1" customWidth="1"/>
    <col min="11308" max="11308" width="5.875" style="1" customWidth="1"/>
    <col min="11309" max="11309" width="7.875" style="1" customWidth="1"/>
    <col min="11310" max="11310" width="5.875" style="1" customWidth="1"/>
    <col min="11311" max="11311" width="8.125" style="1" customWidth="1"/>
    <col min="11312" max="11316" width="5.875" style="1" customWidth="1"/>
    <col min="11317" max="11520" width="9" style="1"/>
    <col min="11521" max="11521" width="3.75" style="1" customWidth="1"/>
    <col min="11522" max="11522" width="35.625" style="1" customWidth="1"/>
    <col min="11523" max="11524" width="13.75" style="1" customWidth="1"/>
    <col min="11525" max="11525" width="29.5" style="1" customWidth="1"/>
    <col min="11526" max="11526" width="13.75" style="1" customWidth="1"/>
    <col min="11527" max="11527" width="17.375" style="1" customWidth="1"/>
    <col min="11528" max="11528" width="16.125" style="1" customWidth="1"/>
    <col min="11529" max="11531" width="13.75" style="1" customWidth="1"/>
    <col min="11532" max="11532" width="18.25" style="1" customWidth="1"/>
    <col min="11533" max="11533" width="13.75" style="1" customWidth="1"/>
    <col min="11534" max="11535" width="5.875" style="1" customWidth="1"/>
    <col min="11536" max="11536" width="30.375" style="1" customWidth="1"/>
    <col min="11537" max="11537" width="17.25" style="1" customWidth="1"/>
    <col min="11538" max="11539" width="5.875" style="1" customWidth="1"/>
    <col min="11540" max="11540" width="30.375" style="1" customWidth="1"/>
    <col min="11541" max="11541" width="17.25" style="1" customWidth="1"/>
    <col min="11542" max="11543" width="5.875" style="1" customWidth="1"/>
    <col min="11544" max="11544" width="30.375" style="1" customWidth="1"/>
    <col min="11545" max="11545" width="17.25" style="1" customWidth="1"/>
    <col min="11546" max="11547" width="5.875" style="1" customWidth="1"/>
    <col min="11548" max="11548" width="49.125" style="1" customWidth="1"/>
    <col min="11549" max="11549" width="8.375" style="1" customWidth="1"/>
    <col min="11550" max="11550" width="12.375" style="1" customWidth="1"/>
    <col min="11551" max="11551" width="14.375" style="1" customWidth="1"/>
    <col min="11552" max="11552" width="5.875" style="1" customWidth="1"/>
    <col min="11553" max="11553" width="8.375" style="1" customWidth="1"/>
    <col min="11554" max="11554" width="5.875" style="1" customWidth="1"/>
    <col min="11555" max="11555" width="11.125" style="1" customWidth="1"/>
    <col min="11556" max="11560" width="5.875" style="1" customWidth="1"/>
    <col min="11561" max="11561" width="8.875" style="1" customWidth="1"/>
    <col min="11562" max="11562" width="8.625" style="1" customWidth="1"/>
    <col min="11563" max="11563" width="10.625" style="1" customWidth="1"/>
    <col min="11564" max="11564" width="5.875" style="1" customWidth="1"/>
    <col min="11565" max="11565" width="7.875" style="1" customWidth="1"/>
    <col min="11566" max="11566" width="5.875" style="1" customWidth="1"/>
    <col min="11567" max="11567" width="8.125" style="1" customWidth="1"/>
    <col min="11568" max="11572" width="5.875" style="1" customWidth="1"/>
    <col min="11573" max="11776" width="9" style="1"/>
    <col min="11777" max="11777" width="3.75" style="1" customWidth="1"/>
    <col min="11778" max="11778" width="35.625" style="1" customWidth="1"/>
    <col min="11779" max="11780" width="13.75" style="1" customWidth="1"/>
    <col min="11781" max="11781" width="29.5" style="1" customWidth="1"/>
    <col min="11782" max="11782" width="13.75" style="1" customWidth="1"/>
    <col min="11783" max="11783" width="17.375" style="1" customWidth="1"/>
    <col min="11784" max="11784" width="16.125" style="1" customWidth="1"/>
    <col min="11785" max="11787" width="13.75" style="1" customWidth="1"/>
    <col min="11788" max="11788" width="18.25" style="1" customWidth="1"/>
    <col min="11789" max="11789" width="13.75" style="1" customWidth="1"/>
    <col min="11790" max="11791" width="5.875" style="1" customWidth="1"/>
    <col min="11792" max="11792" width="30.375" style="1" customWidth="1"/>
    <col min="11793" max="11793" width="17.25" style="1" customWidth="1"/>
    <col min="11794" max="11795" width="5.875" style="1" customWidth="1"/>
    <col min="11796" max="11796" width="30.375" style="1" customWidth="1"/>
    <col min="11797" max="11797" width="17.25" style="1" customWidth="1"/>
    <col min="11798" max="11799" width="5.875" style="1" customWidth="1"/>
    <col min="11800" max="11800" width="30.375" style="1" customWidth="1"/>
    <col min="11801" max="11801" width="17.25" style="1" customWidth="1"/>
    <col min="11802" max="11803" width="5.875" style="1" customWidth="1"/>
    <col min="11804" max="11804" width="49.125" style="1" customWidth="1"/>
    <col min="11805" max="11805" width="8.375" style="1" customWidth="1"/>
    <col min="11806" max="11806" width="12.375" style="1" customWidth="1"/>
    <col min="11807" max="11807" width="14.375" style="1" customWidth="1"/>
    <col min="11808" max="11808" width="5.875" style="1" customWidth="1"/>
    <col min="11809" max="11809" width="8.375" style="1" customWidth="1"/>
    <col min="11810" max="11810" width="5.875" style="1" customWidth="1"/>
    <col min="11811" max="11811" width="11.125" style="1" customWidth="1"/>
    <col min="11812" max="11816" width="5.875" style="1" customWidth="1"/>
    <col min="11817" max="11817" width="8.875" style="1" customWidth="1"/>
    <col min="11818" max="11818" width="8.625" style="1" customWidth="1"/>
    <col min="11819" max="11819" width="10.625" style="1" customWidth="1"/>
    <col min="11820" max="11820" width="5.875" style="1" customWidth="1"/>
    <col min="11821" max="11821" width="7.875" style="1" customWidth="1"/>
    <col min="11822" max="11822" width="5.875" style="1" customWidth="1"/>
    <col min="11823" max="11823" width="8.125" style="1" customWidth="1"/>
    <col min="11824" max="11828" width="5.875" style="1" customWidth="1"/>
    <col min="11829" max="12032" width="9" style="1"/>
    <col min="12033" max="12033" width="3.75" style="1" customWidth="1"/>
    <col min="12034" max="12034" width="35.625" style="1" customWidth="1"/>
    <col min="12035" max="12036" width="13.75" style="1" customWidth="1"/>
    <col min="12037" max="12037" width="29.5" style="1" customWidth="1"/>
    <col min="12038" max="12038" width="13.75" style="1" customWidth="1"/>
    <col min="12039" max="12039" width="17.375" style="1" customWidth="1"/>
    <col min="12040" max="12040" width="16.125" style="1" customWidth="1"/>
    <col min="12041" max="12043" width="13.75" style="1" customWidth="1"/>
    <col min="12044" max="12044" width="18.25" style="1" customWidth="1"/>
    <col min="12045" max="12045" width="13.75" style="1" customWidth="1"/>
    <col min="12046" max="12047" width="5.875" style="1" customWidth="1"/>
    <col min="12048" max="12048" width="30.375" style="1" customWidth="1"/>
    <col min="12049" max="12049" width="17.25" style="1" customWidth="1"/>
    <col min="12050" max="12051" width="5.875" style="1" customWidth="1"/>
    <col min="12052" max="12052" width="30.375" style="1" customWidth="1"/>
    <col min="12053" max="12053" width="17.25" style="1" customWidth="1"/>
    <col min="12054" max="12055" width="5.875" style="1" customWidth="1"/>
    <col min="12056" max="12056" width="30.375" style="1" customWidth="1"/>
    <col min="12057" max="12057" width="17.25" style="1" customWidth="1"/>
    <col min="12058" max="12059" width="5.875" style="1" customWidth="1"/>
    <col min="12060" max="12060" width="49.125" style="1" customWidth="1"/>
    <col min="12061" max="12061" width="8.375" style="1" customWidth="1"/>
    <col min="12062" max="12062" width="12.375" style="1" customWidth="1"/>
    <col min="12063" max="12063" width="14.375" style="1" customWidth="1"/>
    <col min="12064" max="12064" width="5.875" style="1" customWidth="1"/>
    <col min="12065" max="12065" width="8.375" style="1" customWidth="1"/>
    <col min="12066" max="12066" width="5.875" style="1" customWidth="1"/>
    <col min="12067" max="12067" width="11.125" style="1" customWidth="1"/>
    <col min="12068" max="12072" width="5.875" style="1" customWidth="1"/>
    <col min="12073" max="12073" width="8.875" style="1" customWidth="1"/>
    <col min="12074" max="12074" width="8.625" style="1" customWidth="1"/>
    <col min="12075" max="12075" width="10.625" style="1" customWidth="1"/>
    <col min="12076" max="12076" width="5.875" style="1" customWidth="1"/>
    <col min="12077" max="12077" width="7.875" style="1" customWidth="1"/>
    <col min="12078" max="12078" width="5.875" style="1" customWidth="1"/>
    <col min="12079" max="12079" width="8.125" style="1" customWidth="1"/>
    <col min="12080" max="12084" width="5.875" style="1" customWidth="1"/>
    <col min="12085" max="12288" width="9" style="1"/>
    <col min="12289" max="12289" width="3.75" style="1" customWidth="1"/>
    <col min="12290" max="12290" width="35.625" style="1" customWidth="1"/>
    <col min="12291" max="12292" width="13.75" style="1" customWidth="1"/>
    <col min="12293" max="12293" width="29.5" style="1" customWidth="1"/>
    <col min="12294" max="12294" width="13.75" style="1" customWidth="1"/>
    <col min="12295" max="12295" width="17.375" style="1" customWidth="1"/>
    <col min="12296" max="12296" width="16.125" style="1" customWidth="1"/>
    <col min="12297" max="12299" width="13.75" style="1" customWidth="1"/>
    <col min="12300" max="12300" width="18.25" style="1" customWidth="1"/>
    <col min="12301" max="12301" width="13.75" style="1" customWidth="1"/>
    <col min="12302" max="12303" width="5.875" style="1" customWidth="1"/>
    <col min="12304" max="12304" width="30.375" style="1" customWidth="1"/>
    <col min="12305" max="12305" width="17.25" style="1" customWidth="1"/>
    <col min="12306" max="12307" width="5.875" style="1" customWidth="1"/>
    <col min="12308" max="12308" width="30.375" style="1" customWidth="1"/>
    <col min="12309" max="12309" width="17.25" style="1" customWidth="1"/>
    <col min="12310" max="12311" width="5.875" style="1" customWidth="1"/>
    <col min="12312" max="12312" width="30.375" style="1" customWidth="1"/>
    <col min="12313" max="12313" width="17.25" style="1" customWidth="1"/>
    <col min="12314" max="12315" width="5.875" style="1" customWidth="1"/>
    <col min="12316" max="12316" width="49.125" style="1" customWidth="1"/>
    <col min="12317" max="12317" width="8.375" style="1" customWidth="1"/>
    <col min="12318" max="12318" width="12.375" style="1" customWidth="1"/>
    <col min="12319" max="12319" width="14.375" style="1" customWidth="1"/>
    <col min="12320" max="12320" width="5.875" style="1" customWidth="1"/>
    <col min="12321" max="12321" width="8.375" style="1" customWidth="1"/>
    <col min="12322" max="12322" width="5.875" style="1" customWidth="1"/>
    <col min="12323" max="12323" width="11.125" style="1" customWidth="1"/>
    <col min="12324" max="12328" width="5.875" style="1" customWidth="1"/>
    <col min="12329" max="12329" width="8.875" style="1" customWidth="1"/>
    <col min="12330" max="12330" width="8.625" style="1" customWidth="1"/>
    <col min="12331" max="12331" width="10.625" style="1" customWidth="1"/>
    <col min="12332" max="12332" width="5.875" style="1" customWidth="1"/>
    <col min="12333" max="12333" width="7.875" style="1" customWidth="1"/>
    <col min="12334" max="12334" width="5.875" style="1" customWidth="1"/>
    <col min="12335" max="12335" width="8.125" style="1" customWidth="1"/>
    <col min="12336" max="12340" width="5.875" style="1" customWidth="1"/>
    <col min="12341" max="12544" width="9" style="1"/>
    <col min="12545" max="12545" width="3.75" style="1" customWidth="1"/>
    <col min="12546" max="12546" width="35.625" style="1" customWidth="1"/>
    <col min="12547" max="12548" width="13.75" style="1" customWidth="1"/>
    <col min="12549" max="12549" width="29.5" style="1" customWidth="1"/>
    <col min="12550" max="12550" width="13.75" style="1" customWidth="1"/>
    <col min="12551" max="12551" width="17.375" style="1" customWidth="1"/>
    <col min="12552" max="12552" width="16.125" style="1" customWidth="1"/>
    <col min="12553" max="12555" width="13.75" style="1" customWidth="1"/>
    <col min="12556" max="12556" width="18.25" style="1" customWidth="1"/>
    <col min="12557" max="12557" width="13.75" style="1" customWidth="1"/>
    <col min="12558" max="12559" width="5.875" style="1" customWidth="1"/>
    <col min="12560" max="12560" width="30.375" style="1" customWidth="1"/>
    <col min="12561" max="12561" width="17.25" style="1" customWidth="1"/>
    <col min="12562" max="12563" width="5.875" style="1" customWidth="1"/>
    <col min="12564" max="12564" width="30.375" style="1" customWidth="1"/>
    <col min="12565" max="12565" width="17.25" style="1" customWidth="1"/>
    <col min="12566" max="12567" width="5.875" style="1" customWidth="1"/>
    <col min="12568" max="12568" width="30.375" style="1" customWidth="1"/>
    <col min="12569" max="12569" width="17.25" style="1" customWidth="1"/>
    <col min="12570" max="12571" width="5.875" style="1" customWidth="1"/>
    <col min="12572" max="12572" width="49.125" style="1" customWidth="1"/>
    <col min="12573" max="12573" width="8.375" style="1" customWidth="1"/>
    <col min="12574" max="12574" width="12.375" style="1" customWidth="1"/>
    <col min="12575" max="12575" width="14.375" style="1" customWidth="1"/>
    <col min="12576" max="12576" width="5.875" style="1" customWidth="1"/>
    <col min="12577" max="12577" width="8.375" style="1" customWidth="1"/>
    <col min="12578" max="12578" width="5.875" style="1" customWidth="1"/>
    <col min="12579" max="12579" width="11.125" style="1" customWidth="1"/>
    <col min="12580" max="12584" width="5.875" style="1" customWidth="1"/>
    <col min="12585" max="12585" width="8.875" style="1" customWidth="1"/>
    <col min="12586" max="12586" width="8.625" style="1" customWidth="1"/>
    <col min="12587" max="12587" width="10.625" style="1" customWidth="1"/>
    <col min="12588" max="12588" width="5.875" style="1" customWidth="1"/>
    <col min="12589" max="12589" width="7.875" style="1" customWidth="1"/>
    <col min="12590" max="12590" width="5.875" style="1" customWidth="1"/>
    <col min="12591" max="12591" width="8.125" style="1" customWidth="1"/>
    <col min="12592" max="12596" width="5.875" style="1" customWidth="1"/>
    <col min="12597" max="12800" width="9" style="1"/>
    <col min="12801" max="12801" width="3.75" style="1" customWidth="1"/>
    <col min="12802" max="12802" width="35.625" style="1" customWidth="1"/>
    <col min="12803" max="12804" width="13.75" style="1" customWidth="1"/>
    <col min="12805" max="12805" width="29.5" style="1" customWidth="1"/>
    <col min="12806" max="12806" width="13.75" style="1" customWidth="1"/>
    <col min="12807" max="12807" width="17.375" style="1" customWidth="1"/>
    <col min="12808" max="12808" width="16.125" style="1" customWidth="1"/>
    <col min="12809" max="12811" width="13.75" style="1" customWidth="1"/>
    <col min="12812" max="12812" width="18.25" style="1" customWidth="1"/>
    <col min="12813" max="12813" width="13.75" style="1" customWidth="1"/>
    <col min="12814" max="12815" width="5.875" style="1" customWidth="1"/>
    <col min="12816" max="12816" width="30.375" style="1" customWidth="1"/>
    <col min="12817" max="12817" width="17.25" style="1" customWidth="1"/>
    <col min="12818" max="12819" width="5.875" style="1" customWidth="1"/>
    <col min="12820" max="12820" width="30.375" style="1" customWidth="1"/>
    <col min="12821" max="12821" width="17.25" style="1" customWidth="1"/>
    <col min="12822" max="12823" width="5.875" style="1" customWidth="1"/>
    <col min="12824" max="12824" width="30.375" style="1" customWidth="1"/>
    <col min="12825" max="12825" width="17.25" style="1" customWidth="1"/>
    <col min="12826" max="12827" width="5.875" style="1" customWidth="1"/>
    <col min="12828" max="12828" width="49.125" style="1" customWidth="1"/>
    <col min="12829" max="12829" width="8.375" style="1" customWidth="1"/>
    <col min="12830" max="12830" width="12.375" style="1" customWidth="1"/>
    <col min="12831" max="12831" width="14.375" style="1" customWidth="1"/>
    <col min="12832" max="12832" width="5.875" style="1" customWidth="1"/>
    <col min="12833" max="12833" width="8.375" style="1" customWidth="1"/>
    <col min="12834" max="12834" width="5.875" style="1" customWidth="1"/>
    <col min="12835" max="12835" width="11.125" style="1" customWidth="1"/>
    <col min="12836" max="12840" width="5.875" style="1" customWidth="1"/>
    <col min="12841" max="12841" width="8.875" style="1" customWidth="1"/>
    <col min="12842" max="12842" width="8.625" style="1" customWidth="1"/>
    <col min="12843" max="12843" width="10.625" style="1" customWidth="1"/>
    <col min="12844" max="12844" width="5.875" style="1" customWidth="1"/>
    <col min="12845" max="12845" width="7.875" style="1" customWidth="1"/>
    <col min="12846" max="12846" width="5.875" style="1" customWidth="1"/>
    <col min="12847" max="12847" width="8.125" style="1" customWidth="1"/>
    <col min="12848" max="12852" width="5.875" style="1" customWidth="1"/>
    <col min="12853" max="13056" width="9" style="1"/>
    <col min="13057" max="13057" width="3.75" style="1" customWidth="1"/>
    <col min="13058" max="13058" width="35.625" style="1" customWidth="1"/>
    <col min="13059" max="13060" width="13.75" style="1" customWidth="1"/>
    <col min="13061" max="13061" width="29.5" style="1" customWidth="1"/>
    <col min="13062" max="13062" width="13.75" style="1" customWidth="1"/>
    <col min="13063" max="13063" width="17.375" style="1" customWidth="1"/>
    <col min="13064" max="13064" width="16.125" style="1" customWidth="1"/>
    <col min="13065" max="13067" width="13.75" style="1" customWidth="1"/>
    <col min="13068" max="13068" width="18.25" style="1" customWidth="1"/>
    <col min="13069" max="13069" width="13.75" style="1" customWidth="1"/>
    <col min="13070" max="13071" width="5.875" style="1" customWidth="1"/>
    <col min="13072" max="13072" width="30.375" style="1" customWidth="1"/>
    <col min="13073" max="13073" width="17.25" style="1" customWidth="1"/>
    <col min="13074" max="13075" width="5.875" style="1" customWidth="1"/>
    <col min="13076" max="13076" width="30.375" style="1" customWidth="1"/>
    <col min="13077" max="13077" width="17.25" style="1" customWidth="1"/>
    <col min="13078" max="13079" width="5.875" style="1" customWidth="1"/>
    <col min="13080" max="13080" width="30.375" style="1" customWidth="1"/>
    <col min="13081" max="13081" width="17.25" style="1" customWidth="1"/>
    <col min="13082" max="13083" width="5.875" style="1" customWidth="1"/>
    <col min="13084" max="13084" width="49.125" style="1" customWidth="1"/>
    <col min="13085" max="13085" width="8.375" style="1" customWidth="1"/>
    <col min="13086" max="13086" width="12.375" style="1" customWidth="1"/>
    <col min="13087" max="13087" width="14.375" style="1" customWidth="1"/>
    <col min="13088" max="13088" width="5.875" style="1" customWidth="1"/>
    <col min="13089" max="13089" width="8.375" style="1" customWidth="1"/>
    <col min="13090" max="13090" width="5.875" style="1" customWidth="1"/>
    <col min="13091" max="13091" width="11.125" style="1" customWidth="1"/>
    <col min="13092" max="13096" width="5.875" style="1" customWidth="1"/>
    <col min="13097" max="13097" width="8.875" style="1" customWidth="1"/>
    <col min="13098" max="13098" width="8.625" style="1" customWidth="1"/>
    <col min="13099" max="13099" width="10.625" style="1" customWidth="1"/>
    <col min="13100" max="13100" width="5.875" style="1" customWidth="1"/>
    <col min="13101" max="13101" width="7.875" style="1" customWidth="1"/>
    <col min="13102" max="13102" width="5.875" style="1" customWidth="1"/>
    <col min="13103" max="13103" width="8.125" style="1" customWidth="1"/>
    <col min="13104" max="13108" width="5.875" style="1" customWidth="1"/>
    <col min="13109" max="13312" width="9" style="1"/>
    <col min="13313" max="13313" width="3.75" style="1" customWidth="1"/>
    <col min="13314" max="13314" width="35.625" style="1" customWidth="1"/>
    <col min="13315" max="13316" width="13.75" style="1" customWidth="1"/>
    <col min="13317" max="13317" width="29.5" style="1" customWidth="1"/>
    <col min="13318" max="13318" width="13.75" style="1" customWidth="1"/>
    <col min="13319" max="13319" width="17.375" style="1" customWidth="1"/>
    <col min="13320" max="13320" width="16.125" style="1" customWidth="1"/>
    <col min="13321" max="13323" width="13.75" style="1" customWidth="1"/>
    <col min="13324" max="13324" width="18.25" style="1" customWidth="1"/>
    <col min="13325" max="13325" width="13.75" style="1" customWidth="1"/>
    <col min="13326" max="13327" width="5.875" style="1" customWidth="1"/>
    <col min="13328" max="13328" width="30.375" style="1" customWidth="1"/>
    <col min="13329" max="13329" width="17.25" style="1" customWidth="1"/>
    <col min="13330" max="13331" width="5.875" style="1" customWidth="1"/>
    <col min="13332" max="13332" width="30.375" style="1" customWidth="1"/>
    <col min="13333" max="13333" width="17.25" style="1" customWidth="1"/>
    <col min="13334" max="13335" width="5.875" style="1" customWidth="1"/>
    <col min="13336" max="13336" width="30.375" style="1" customWidth="1"/>
    <col min="13337" max="13337" width="17.25" style="1" customWidth="1"/>
    <col min="13338" max="13339" width="5.875" style="1" customWidth="1"/>
    <col min="13340" max="13340" width="49.125" style="1" customWidth="1"/>
    <col min="13341" max="13341" width="8.375" style="1" customWidth="1"/>
    <col min="13342" max="13342" width="12.375" style="1" customWidth="1"/>
    <col min="13343" max="13343" width="14.375" style="1" customWidth="1"/>
    <col min="13344" max="13344" width="5.875" style="1" customWidth="1"/>
    <col min="13345" max="13345" width="8.375" style="1" customWidth="1"/>
    <col min="13346" max="13346" width="5.875" style="1" customWidth="1"/>
    <col min="13347" max="13347" width="11.125" style="1" customWidth="1"/>
    <col min="13348" max="13352" width="5.875" style="1" customWidth="1"/>
    <col min="13353" max="13353" width="8.875" style="1" customWidth="1"/>
    <col min="13354" max="13354" width="8.625" style="1" customWidth="1"/>
    <col min="13355" max="13355" width="10.625" style="1" customWidth="1"/>
    <col min="13356" max="13356" width="5.875" style="1" customWidth="1"/>
    <col min="13357" max="13357" width="7.875" style="1" customWidth="1"/>
    <col min="13358" max="13358" width="5.875" style="1" customWidth="1"/>
    <col min="13359" max="13359" width="8.125" style="1" customWidth="1"/>
    <col min="13360" max="13364" width="5.875" style="1" customWidth="1"/>
    <col min="13365" max="13568" width="9" style="1"/>
    <col min="13569" max="13569" width="3.75" style="1" customWidth="1"/>
    <col min="13570" max="13570" width="35.625" style="1" customWidth="1"/>
    <col min="13571" max="13572" width="13.75" style="1" customWidth="1"/>
    <col min="13573" max="13573" width="29.5" style="1" customWidth="1"/>
    <col min="13574" max="13574" width="13.75" style="1" customWidth="1"/>
    <col min="13575" max="13575" width="17.375" style="1" customWidth="1"/>
    <col min="13576" max="13576" width="16.125" style="1" customWidth="1"/>
    <col min="13577" max="13579" width="13.75" style="1" customWidth="1"/>
    <col min="13580" max="13580" width="18.25" style="1" customWidth="1"/>
    <col min="13581" max="13581" width="13.75" style="1" customWidth="1"/>
    <col min="13582" max="13583" width="5.875" style="1" customWidth="1"/>
    <col min="13584" max="13584" width="30.375" style="1" customWidth="1"/>
    <col min="13585" max="13585" width="17.25" style="1" customWidth="1"/>
    <col min="13586" max="13587" width="5.875" style="1" customWidth="1"/>
    <col min="13588" max="13588" width="30.375" style="1" customWidth="1"/>
    <col min="13589" max="13589" width="17.25" style="1" customWidth="1"/>
    <col min="13590" max="13591" width="5.875" style="1" customWidth="1"/>
    <col min="13592" max="13592" width="30.375" style="1" customWidth="1"/>
    <col min="13593" max="13593" width="17.25" style="1" customWidth="1"/>
    <col min="13594" max="13595" width="5.875" style="1" customWidth="1"/>
    <col min="13596" max="13596" width="49.125" style="1" customWidth="1"/>
    <col min="13597" max="13597" width="8.375" style="1" customWidth="1"/>
    <col min="13598" max="13598" width="12.375" style="1" customWidth="1"/>
    <col min="13599" max="13599" width="14.375" style="1" customWidth="1"/>
    <col min="13600" max="13600" width="5.875" style="1" customWidth="1"/>
    <col min="13601" max="13601" width="8.375" style="1" customWidth="1"/>
    <col min="13602" max="13602" width="5.875" style="1" customWidth="1"/>
    <col min="13603" max="13603" width="11.125" style="1" customWidth="1"/>
    <col min="13604" max="13608" width="5.875" style="1" customWidth="1"/>
    <col min="13609" max="13609" width="8.875" style="1" customWidth="1"/>
    <col min="13610" max="13610" width="8.625" style="1" customWidth="1"/>
    <col min="13611" max="13611" width="10.625" style="1" customWidth="1"/>
    <col min="13612" max="13612" width="5.875" style="1" customWidth="1"/>
    <col min="13613" max="13613" width="7.875" style="1" customWidth="1"/>
    <col min="13614" max="13614" width="5.875" style="1" customWidth="1"/>
    <col min="13615" max="13615" width="8.125" style="1" customWidth="1"/>
    <col min="13616" max="13620" width="5.875" style="1" customWidth="1"/>
    <col min="13621" max="13824" width="9" style="1"/>
    <col min="13825" max="13825" width="3.75" style="1" customWidth="1"/>
    <col min="13826" max="13826" width="35.625" style="1" customWidth="1"/>
    <col min="13827" max="13828" width="13.75" style="1" customWidth="1"/>
    <col min="13829" max="13829" width="29.5" style="1" customWidth="1"/>
    <col min="13830" max="13830" width="13.75" style="1" customWidth="1"/>
    <col min="13831" max="13831" width="17.375" style="1" customWidth="1"/>
    <col min="13832" max="13832" width="16.125" style="1" customWidth="1"/>
    <col min="13833" max="13835" width="13.75" style="1" customWidth="1"/>
    <col min="13836" max="13836" width="18.25" style="1" customWidth="1"/>
    <col min="13837" max="13837" width="13.75" style="1" customWidth="1"/>
    <col min="13838" max="13839" width="5.875" style="1" customWidth="1"/>
    <col min="13840" max="13840" width="30.375" style="1" customWidth="1"/>
    <col min="13841" max="13841" width="17.25" style="1" customWidth="1"/>
    <col min="13842" max="13843" width="5.875" style="1" customWidth="1"/>
    <col min="13844" max="13844" width="30.375" style="1" customWidth="1"/>
    <col min="13845" max="13845" width="17.25" style="1" customWidth="1"/>
    <col min="13846" max="13847" width="5.875" style="1" customWidth="1"/>
    <col min="13848" max="13848" width="30.375" style="1" customWidth="1"/>
    <col min="13849" max="13849" width="17.25" style="1" customWidth="1"/>
    <col min="13850" max="13851" width="5.875" style="1" customWidth="1"/>
    <col min="13852" max="13852" width="49.125" style="1" customWidth="1"/>
    <col min="13853" max="13853" width="8.375" style="1" customWidth="1"/>
    <col min="13854" max="13854" width="12.375" style="1" customWidth="1"/>
    <col min="13855" max="13855" width="14.375" style="1" customWidth="1"/>
    <col min="13856" max="13856" width="5.875" style="1" customWidth="1"/>
    <col min="13857" max="13857" width="8.375" style="1" customWidth="1"/>
    <col min="13858" max="13858" width="5.875" style="1" customWidth="1"/>
    <col min="13859" max="13859" width="11.125" style="1" customWidth="1"/>
    <col min="13860" max="13864" width="5.875" style="1" customWidth="1"/>
    <col min="13865" max="13865" width="8.875" style="1" customWidth="1"/>
    <col min="13866" max="13866" width="8.625" style="1" customWidth="1"/>
    <col min="13867" max="13867" width="10.625" style="1" customWidth="1"/>
    <col min="13868" max="13868" width="5.875" style="1" customWidth="1"/>
    <col min="13869" max="13869" width="7.875" style="1" customWidth="1"/>
    <col min="13870" max="13870" width="5.875" style="1" customWidth="1"/>
    <col min="13871" max="13871" width="8.125" style="1" customWidth="1"/>
    <col min="13872" max="13876" width="5.875" style="1" customWidth="1"/>
    <col min="13877" max="14080" width="9" style="1"/>
    <col min="14081" max="14081" width="3.75" style="1" customWidth="1"/>
    <col min="14082" max="14082" width="35.625" style="1" customWidth="1"/>
    <col min="14083" max="14084" width="13.75" style="1" customWidth="1"/>
    <col min="14085" max="14085" width="29.5" style="1" customWidth="1"/>
    <col min="14086" max="14086" width="13.75" style="1" customWidth="1"/>
    <col min="14087" max="14087" width="17.375" style="1" customWidth="1"/>
    <col min="14088" max="14088" width="16.125" style="1" customWidth="1"/>
    <col min="14089" max="14091" width="13.75" style="1" customWidth="1"/>
    <col min="14092" max="14092" width="18.25" style="1" customWidth="1"/>
    <col min="14093" max="14093" width="13.75" style="1" customWidth="1"/>
    <col min="14094" max="14095" width="5.875" style="1" customWidth="1"/>
    <col min="14096" max="14096" width="30.375" style="1" customWidth="1"/>
    <col min="14097" max="14097" width="17.25" style="1" customWidth="1"/>
    <col min="14098" max="14099" width="5.875" style="1" customWidth="1"/>
    <col min="14100" max="14100" width="30.375" style="1" customWidth="1"/>
    <col min="14101" max="14101" width="17.25" style="1" customWidth="1"/>
    <col min="14102" max="14103" width="5.875" style="1" customWidth="1"/>
    <col min="14104" max="14104" width="30.375" style="1" customWidth="1"/>
    <col min="14105" max="14105" width="17.25" style="1" customWidth="1"/>
    <col min="14106" max="14107" width="5.875" style="1" customWidth="1"/>
    <col min="14108" max="14108" width="49.125" style="1" customWidth="1"/>
    <col min="14109" max="14109" width="8.375" style="1" customWidth="1"/>
    <col min="14110" max="14110" width="12.375" style="1" customWidth="1"/>
    <col min="14111" max="14111" width="14.375" style="1" customWidth="1"/>
    <col min="14112" max="14112" width="5.875" style="1" customWidth="1"/>
    <col min="14113" max="14113" width="8.375" style="1" customWidth="1"/>
    <col min="14114" max="14114" width="5.875" style="1" customWidth="1"/>
    <col min="14115" max="14115" width="11.125" style="1" customWidth="1"/>
    <col min="14116" max="14120" width="5.875" style="1" customWidth="1"/>
    <col min="14121" max="14121" width="8.875" style="1" customWidth="1"/>
    <col min="14122" max="14122" width="8.625" style="1" customWidth="1"/>
    <col min="14123" max="14123" width="10.625" style="1" customWidth="1"/>
    <col min="14124" max="14124" width="5.875" style="1" customWidth="1"/>
    <col min="14125" max="14125" width="7.875" style="1" customWidth="1"/>
    <col min="14126" max="14126" width="5.875" style="1" customWidth="1"/>
    <col min="14127" max="14127" width="8.125" style="1" customWidth="1"/>
    <col min="14128" max="14132" width="5.875" style="1" customWidth="1"/>
    <col min="14133" max="14336" width="9" style="1"/>
    <col min="14337" max="14337" width="3.75" style="1" customWidth="1"/>
    <col min="14338" max="14338" width="35.625" style="1" customWidth="1"/>
    <col min="14339" max="14340" width="13.75" style="1" customWidth="1"/>
    <col min="14341" max="14341" width="29.5" style="1" customWidth="1"/>
    <col min="14342" max="14342" width="13.75" style="1" customWidth="1"/>
    <col min="14343" max="14343" width="17.375" style="1" customWidth="1"/>
    <col min="14344" max="14344" width="16.125" style="1" customWidth="1"/>
    <col min="14345" max="14347" width="13.75" style="1" customWidth="1"/>
    <col min="14348" max="14348" width="18.25" style="1" customWidth="1"/>
    <col min="14349" max="14349" width="13.75" style="1" customWidth="1"/>
    <col min="14350" max="14351" width="5.875" style="1" customWidth="1"/>
    <col min="14352" max="14352" width="30.375" style="1" customWidth="1"/>
    <col min="14353" max="14353" width="17.25" style="1" customWidth="1"/>
    <col min="14354" max="14355" width="5.875" style="1" customWidth="1"/>
    <col min="14356" max="14356" width="30.375" style="1" customWidth="1"/>
    <col min="14357" max="14357" width="17.25" style="1" customWidth="1"/>
    <col min="14358" max="14359" width="5.875" style="1" customWidth="1"/>
    <col min="14360" max="14360" width="30.375" style="1" customWidth="1"/>
    <col min="14361" max="14361" width="17.25" style="1" customWidth="1"/>
    <col min="14362" max="14363" width="5.875" style="1" customWidth="1"/>
    <col min="14364" max="14364" width="49.125" style="1" customWidth="1"/>
    <col min="14365" max="14365" width="8.375" style="1" customWidth="1"/>
    <col min="14366" max="14366" width="12.375" style="1" customWidth="1"/>
    <col min="14367" max="14367" width="14.375" style="1" customWidth="1"/>
    <col min="14368" max="14368" width="5.875" style="1" customWidth="1"/>
    <col min="14369" max="14369" width="8.375" style="1" customWidth="1"/>
    <col min="14370" max="14370" width="5.875" style="1" customWidth="1"/>
    <col min="14371" max="14371" width="11.125" style="1" customWidth="1"/>
    <col min="14372" max="14376" width="5.875" style="1" customWidth="1"/>
    <col min="14377" max="14377" width="8.875" style="1" customWidth="1"/>
    <col min="14378" max="14378" width="8.625" style="1" customWidth="1"/>
    <col min="14379" max="14379" width="10.625" style="1" customWidth="1"/>
    <col min="14380" max="14380" width="5.875" style="1" customWidth="1"/>
    <col min="14381" max="14381" width="7.875" style="1" customWidth="1"/>
    <col min="14382" max="14382" width="5.875" style="1" customWidth="1"/>
    <col min="14383" max="14383" width="8.125" style="1" customWidth="1"/>
    <col min="14384" max="14388" width="5.875" style="1" customWidth="1"/>
    <col min="14389" max="14592" width="9" style="1"/>
    <col min="14593" max="14593" width="3.75" style="1" customWidth="1"/>
    <col min="14594" max="14594" width="35.625" style="1" customWidth="1"/>
    <col min="14595" max="14596" width="13.75" style="1" customWidth="1"/>
    <col min="14597" max="14597" width="29.5" style="1" customWidth="1"/>
    <col min="14598" max="14598" width="13.75" style="1" customWidth="1"/>
    <col min="14599" max="14599" width="17.375" style="1" customWidth="1"/>
    <col min="14600" max="14600" width="16.125" style="1" customWidth="1"/>
    <col min="14601" max="14603" width="13.75" style="1" customWidth="1"/>
    <col min="14604" max="14604" width="18.25" style="1" customWidth="1"/>
    <col min="14605" max="14605" width="13.75" style="1" customWidth="1"/>
    <col min="14606" max="14607" width="5.875" style="1" customWidth="1"/>
    <col min="14608" max="14608" width="30.375" style="1" customWidth="1"/>
    <col min="14609" max="14609" width="17.25" style="1" customWidth="1"/>
    <col min="14610" max="14611" width="5.875" style="1" customWidth="1"/>
    <col min="14612" max="14612" width="30.375" style="1" customWidth="1"/>
    <col min="14613" max="14613" width="17.25" style="1" customWidth="1"/>
    <col min="14614" max="14615" width="5.875" style="1" customWidth="1"/>
    <col min="14616" max="14616" width="30.375" style="1" customWidth="1"/>
    <col min="14617" max="14617" width="17.25" style="1" customWidth="1"/>
    <col min="14618" max="14619" width="5.875" style="1" customWidth="1"/>
    <col min="14620" max="14620" width="49.125" style="1" customWidth="1"/>
    <col min="14621" max="14621" width="8.375" style="1" customWidth="1"/>
    <col min="14622" max="14622" width="12.375" style="1" customWidth="1"/>
    <col min="14623" max="14623" width="14.375" style="1" customWidth="1"/>
    <col min="14624" max="14624" width="5.875" style="1" customWidth="1"/>
    <col min="14625" max="14625" width="8.375" style="1" customWidth="1"/>
    <col min="14626" max="14626" width="5.875" style="1" customWidth="1"/>
    <col min="14627" max="14627" width="11.125" style="1" customWidth="1"/>
    <col min="14628" max="14632" width="5.875" style="1" customWidth="1"/>
    <col min="14633" max="14633" width="8.875" style="1" customWidth="1"/>
    <col min="14634" max="14634" width="8.625" style="1" customWidth="1"/>
    <col min="14635" max="14635" width="10.625" style="1" customWidth="1"/>
    <col min="14636" max="14636" width="5.875" style="1" customWidth="1"/>
    <col min="14637" max="14637" width="7.875" style="1" customWidth="1"/>
    <col min="14638" max="14638" width="5.875" style="1" customWidth="1"/>
    <col min="14639" max="14639" width="8.125" style="1" customWidth="1"/>
    <col min="14640" max="14644" width="5.875" style="1" customWidth="1"/>
    <col min="14645" max="14848" width="9" style="1"/>
    <col min="14849" max="14849" width="3.75" style="1" customWidth="1"/>
    <col min="14850" max="14850" width="35.625" style="1" customWidth="1"/>
    <col min="14851" max="14852" width="13.75" style="1" customWidth="1"/>
    <col min="14853" max="14853" width="29.5" style="1" customWidth="1"/>
    <col min="14854" max="14854" width="13.75" style="1" customWidth="1"/>
    <col min="14855" max="14855" width="17.375" style="1" customWidth="1"/>
    <col min="14856" max="14856" width="16.125" style="1" customWidth="1"/>
    <col min="14857" max="14859" width="13.75" style="1" customWidth="1"/>
    <col min="14860" max="14860" width="18.25" style="1" customWidth="1"/>
    <col min="14861" max="14861" width="13.75" style="1" customWidth="1"/>
    <col min="14862" max="14863" width="5.875" style="1" customWidth="1"/>
    <col min="14864" max="14864" width="30.375" style="1" customWidth="1"/>
    <col min="14865" max="14865" width="17.25" style="1" customWidth="1"/>
    <col min="14866" max="14867" width="5.875" style="1" customWidth="1"/>
    <col min="14868" max="14868" width="30.375" style="1" customWidth="1"/>
    <col min="14869" max="14869" width="17.25" style="1" customWidth="1"/>
    <col min="14870" max="14871" width="5.875" style="1" customWidth="1"/>
    <col min="14872" max="14872" width="30.375" style="1" customWidth="1"/>
    <col min="14873" max="14873" width="17.25" style="1" customWidth="1"/>
    <col min="14874" max="14875" width="5.875" style="1" customWidth="1"/>
    <col min="14876" max="14876" width="49.125" style="1" customWidth="1"/>
    <col min="14877" max="14877" width="8.375" style="1" customWidth="1"/>
    <col min="14878" max="14878" width="12.375" style="1" customWidth="1"/>
    <col min="14879" max="14879" width="14.375" style="1" customWidth="1"/>
    <col min="14880" max="14880" width="5.875" style="1" customWidth="1"/>
    <col min="14881" max="14881" width="8.375" style="1" customWidth="1"/>
    <col min="14882" max="14882" width="5.875" style="1" customWidth="1"/>
    <col min="14883" max="14883" width="11.125" style="1" customWidth="1"/>
    <col min="14884" max="14888" width="5.875" style="1" customWidth="1"/>
    <col min="14889" max="14889" width="8.875" style="1" customWidth="1"/>
    <col min="14890" max="14890" width="8.625" style="1" customWidth="1"/>
    <col min="14891" max="14891" width="10.625" style="1" customWidth="1"/>
    <col min="14892" max="14892" width="5.875" style="1" customWidth="1"/>
    <col min="14893" max="14893" width="7.875" style="1" customWidth="1"/>
    <col min="14894" max="14894" width="5.875" style="1" customWidth="1"/>
    <col min="14895" max="14895" width="8.125" style="1" customWidth="1"/>
    <col min="14896" max="14900" width="5.875" style="1" customWidth="1"/>
    <col min="14901" max="15104" width="9" style="1"/>
    <col min="15105" max="15105" width="3.75" style="1" customWidth="1"/>
    <col min="15106" max="15106" width="35.625" style="1" customWidth="1"/>
    <col min="15107" max="15108" width="13.75" style="1" customWidth="1"/>
    <col min="15109" max="15109" width="29.5" style="1" customWidth="1"/>
    <col min="15110" max="15110" width="13.75" style="1" customWidth="1"/>
    <col min="15111" max="15111" width="17.375" style="1" customWidth="1"/>
    <col min="15112" max="15112" width="16.125" style="1" customWidth="1"/>
    <col min="15113" max="15115" width="13.75" style="1" customWidth="1"/>
    <col min="15116" max="15116" width="18.25" style="1" customWidth="1"/>
    <col min="15117" max="15117" width="13.75" style="1" customWidth="1"/>
    <col min="15118" max="15119" width="5.875" style="1" customWidth="1"/>
    <col min="15120" max="15120" width="30.375" style="1" customWidth="1"/>
    <col min="15121" max="15121" width="17.25" style="1" customWidth="1"/>
    <col min="15122" max="15123" width="5.875" style="1" customWidth="1"/>
    <col min="15124" max="15124" width="30.375" style="1" customWidth="1"/>
    <col min="15125" max="15125" width="17.25" style="1" customWidth="1"/>
    <col min="15126" max="15127" width="5.875" style="1" customWidth="1"/>
    <col min="15128" max="15128" width="30.375" style="1" customWidth="1"/>
    <col min="15129" max="15129" width="17.25" style="1" customWidth="1"/>
    <col min="15130" max="15131" width="5.875" style="1" customWidth="1"/>
    <col min="15132" max="15132" width="49.125" style="1" customWidth="1"/>
    <col min="15133" max="15133" width="8.375" style="1" customWidth="1"/>
    <col min="15134" max="15134" width="12.375" style="1" customWidth="1"/>
    <col min="15135" max="15135" width="14.375" style="1" customWidth="1"/>
    <col min="15136" max="15136" width="5.875" style="1" customWidth="1"/>
    <col min="15137" max="15137" width="8.375" style="1" customWidth="1"/>
    <col min="15138" max="15138" width="5.875" style="1" customWidth="1"/>
    <col min="15139" max="15139" width="11.125" style="1" customWidth="1"/>
    <col min="15140" max="15144" width="5.875" style="1" customWidth="1"/>
    <col min="15145" max="15145" width="8.875" style="1" customWidth="1"/>
    <col min="15146" max="15146" width="8.625" style="1" customWidth="1"/>
    <col min="15147" max="15147" width="10.625" style="1" customWidth="1"/>
    <col min="15148" max="15148" width="5.875" style="1" customWidth="1"/>
    <col min="15149" max="15149" width="7.875" style="1" customWidth="1"/>
    <col min="15150" max="15150" width="5.875" style="1" customWidth="1"/>
    <col min="15151" max="15151" width="8.125" style="1" customWidth="1"/>
    <col min="15152" max="15156" width="5.875" style="1" customWidth="1"/>
    <col min="15157" max="15360" width="9" style="1"/>
    <col min="15361" max="15361" width="3.75" style="1" customWidth="1"/>
    <col min="15362" max="15362" width="35.625" style="1" customWidth="1"/>
    <col min="15363" max="15364" width="13.75" style="1" customWidth="1"/>
    <col min="15365" max="15365" width="29.5" style="1" customWidth="1"/>
    <col min="15366" max="15366" width="13.75" style="1" customWidth="1"/>
    <col min="15367" max="15367" width="17.375" style="1" customWidth="1"/>
    <col min="15368" max="15368" width="16.125" style="1" customWidth="1"/>
    <col min="15369" max="15371" width="13.75" style="1" customWidth="1"/>
    <col min="15372" max="15372" width="18.25" style="1" customWidth="1"/>
    <col min="15373" max="15373" width="13.75" style="1" customWidth="1"/>
    <col min="15374" max="15375" width="5.875" style="1" customWidth="1"/>
    <col min="15376" max="15376" width="30.375" style="1" customWidth="1"/>
    <col min="15377" max="15377" width="17.25" style="1" customWidth="1"/>
    <col min="15378" max="15379" width="5.875" style="1" customWidth="1"/>
    <col min="15380" max="15380" width="30.375" style="1" customWidth="1"/>
    <col min="15381" max="15381" width="17.25" style="1" customWidth="1"/>
    <col min="15382" max="15383" width="5.875" style="1" customWidth="1"/>
    <col min="15384" max="15384" width="30.375" style="1" customWidth="1"/>
    <col min="15385" max="15385" width="17.25" style="1" customWidth="1"/>
    <col min="15386" max="15387" width="5.875" style="1" customWidth="1"/>
    <col min="15388" max="15388" width="49.125" style="1" customWidth="1"/>
    <col min="15389" max="15389" width="8.375" style="1" customWidth="1"/>
    <col min="15390" max="15390" width="12.375" style="1" customWidth="1"/>
    <col min="15391" max="15391" width="14.375" style="1" customWidth="1"/>
    <col min="15392" max="15392" width="5.875" style="1" customWidth="1"/>
    <col min="15393" max="15393" width="8.375" style="1" customWidth="1"/>
    <col min="15394" max="15394" width="5.875" style="1" customWidth="1"/>
    <col min="15395" max="15395" width="11.125" style="1" customWidth="1"/>
    <col min="15396" max="15400" width="5.875" style="1" customWidth="1"/>
    <col min="15401" max="15401" width="8.875" style="1" customWidth="1"/>
    <col min="15402" max="15402" width="8.625" style="1" customWidth="1"/>
    <col min="15403" max="15403" width="10.625" style="1" customWidth="1"/>
    <col min="15404" max="15404" width="5.875" style="1" customWidth="1"/>
    <col min="15405" max="15405" width="7.875" style="1" customWidth="1"/>
    <col min="15406" max="15406" width="5.875" style="1" customWidth="1"/>
    <col min="15407" max="15407" width="8.125" style="1" customWidth="1"/>
    <col min="15408" max="15412" width="5.875" style="1" customWidth="1"/>
    <col min="15413" max="15616" width="9" style="1"/>
    <col min="15617" max="15617" width="3.75" style="1" customWidth="1"/>
    <col min="15618" max="15618" width="35.625" style="1" customWidth="1"/>
    <col min="15619" max="15620" width="13.75" style="1" customWidth="1"/>
    <col min="15621" max="15621" width="29.5" style="1" customWidth="1"/>
    <col min="15622" max="15622" width="13.75" style="1" customWidth="1"/>
    <col min="15623" max="15623" width="17.375" style="1" customWidth="1"/>
    <col min="15624" max="15624" width="16.125" style="1" customWidth="1"/>
    <col min="15625" max="15627" width="13.75" style="1" customWidth="1"/>
    <col min="15628" max="15628" width="18.25" style="1" customWidth="1"/>
    <col min="15629" max="15629" width="13.75" style="1" customWidth="1"/>
    <col min="15630" max="15631" width="5.875" style="1" customWidth="1"/>
    <col min="15632" max="15632" width="30.375" style="1" customWidth="1"/>
    <col min="15633" max="15633" width="17.25" style="1" customWidth="1"/>
    <col min="15634" max="15635" width="5.875" style="1" customWidth="1"/>
    <col min="15636" max="15636" width="30.375" style="1" customWidth="1"/>
    <col min="15637" max="15637" width="17.25" style="1" customWidth="1"/>
    <col min="15638" max="15639" width="5.875" style="1" customWidth="1"/>
    <col min="15640" max="15640" width="30.375" style="1" customWidth="1"/>
    <col min="15641" max="15641" width="17.25" style="1" customWidth="1"/>
    <col min="15642" max="15643" width="5.875" style="1" customWidth="1"/>
    <col min="15644" max="15644" width="49.125" style="1" customWidth="1"/>
    <col min="15645" max="15645" width="8.375" style="1" customWidth="1"/>
    <col min="15646" max="15646" width="12.375" style="1" customWidth="1"/>
    <col min="15647" max="15647" width="14.375" style="1" customWidth="1"/>
    <col min="15648" max="15648" width="5.875" style="1" customWidth="1"/>
    <col min="15649" max="15649" width="8.375" style="1" customWidth="1"/>
    <col min="15650" max="15650" width="5.875" style="1" customWidth="1"/>
    <col min="15651" max="15651" width="11.125" style="1" customWidth="1"/>
    <col min="15652" max="15656" width="5.875" style="1" customWidth="1"/>
    <col min="15657" max="15657" width="8.875" style="1" customWidth="1"/>
    <col min="15658" max="15658" width="8.625" style="1" customWidth="1"/>
    <col min="15659" max="15659" width="10.625" style="1" customWidth="1"/>
    <col min="15660" max="15660" width="5.875" style="1" customWidth="1"/>
    <col min="15661" max="15661" width="7.875" style="1" customWidth="1"/>
    <col min="15662" max="15662" width="5.875" style="1" customWidth="1"/>
    <col min="15663" max="15663" width="8.125" style="1" customWidth="1"/>
    <col min="15664" max="15668" width="5.875" style="1" customWidth="1"/>
    <col min="15669" max="15872" width="9" style="1"/>
    <col min="15873" max="15873" width="3.75" style="1" customWidth="1"/>
    <col min="15874" max="15874" width="35.625" style="1" customWidth="1"/>
    <col min="15875" max="15876" width="13.75" style="1" customWidth="1"/>
    <col min="15877" max="15877" width="29.5" style="1" customWidth="1"/>
    <col min="15878" max="15878" width="13.75" style="1" customWidth="1"/>
    <col min="15879" max="15879" width="17.375" style="1" customWidth="1"/>
    <col min="15880" max="15880" width="16.125" style="1" customWidth="1"/>
    <col min="15881" max="15883" width="13.75" style="1" customWidth="1"/>
    <col min="15884" max="15884" width="18.25" style="1" customWidth="1"/>
    <col min="15885" max="15885" width="13.75" style="1" customWidth="1"/>
    <col min="15886" max="15887" width="5.875" style="1" customWidth="1"/>
    <col min="15888" max="15888" width="30.375" style="1" customWidth="1"/>
    <col min="15889" max="15889" width="17.25" style="1" customWidth="1"/>
    <col min="15890" max="15891" width="5.875" style="1" customWidth="1"/>
    <col min="15892" max="15892" width="30.375" style="1" customWidth="1"/>
    <col min="15893" max="15893" width="17.25" style="1" customWidth="1"/>
    <col min="15894" max="15895" width="5.875" style="1" customWidth="1"/>
    <col min="15896" max="15896" width="30.375" style="1" customWidth="1"/>
    <col min="15897" max="15897" width="17.25" style="1" customWidth="1"/>
    <col min="15898" max="15899" width="5.875" style="1" customWidth="1"/>
    <col min="15900" max="15900" width="49.125" style="1" customWidth="1"/>
    <col min="15901" max="15901" width="8.375" style="1" customWidth="1"/>
    <col min="15902" max="15902" width="12.375" style="1" customWidth="1"/>
    <col min="15903" max="15903" width="14.375" style="1" customWidth="1"/>
    <col min="15904" max="15904" width="5.875" style="1" customWidth="1"/>
    <col min="15905" max="15905" width="8.375" style="1" customWidth="1"/>
    <col min="15906" max="15906" width="5.875" style="1" customWidth="1"/>
    <col min="15907" max="15907" width="11.125" style="1" customWidth="1"/>
    <col min="15908" max="15912" width="5.875" style="1" customWidth="1"/>
    <col min="15913" max="15913" width="8.875" style="1" customWidth="1"/>
    <col min="15914" max="15914" width="8.625" style="1" customWidth="1"/>
    <col min="15915" max="15915" width="10.625" style="1" customWidth="1"/>
    <col min="15916" max="15916" width="5.875" style="1" customWidth="1"/>
    <col min="15917" max="15917" width="7.875" style="1" customWidth="1"/>
    <col min="15918" max="15918" width="5.875" style="1" customWidth="1"/>
    <col min="15919" max="15919" width="8.125" style="1" customWidth="1"/>
    <col min="15920" max="15924" width="5.875" style="1" customWidth="1"/>
    <col min="15925" max="16128" width="9" style="1"/>
    <col min="16129" max="16129" width="3.75" style="1" customWidth="1"/>
    <col min="16130" max="16130" width="35.625" style="1" customWidth="1"/>
    <col min="16131" max="16132" width="13.75" style="1" customWidth="1"/>
    <col min="16133" max="16133" width="29.5" style="1" customWidth="1"/>
    <col min="16134" max="16134" width="13.75" style="1" customWidth="1"/>
    <col min="16135" max="16135" width="17.375" style="1" customWidth="1"/>
    <col min="16136" max="16136" width="16.125" style="1" customWidth="1"/>
    <col min="16137" max="16139" width="13.75" style="1" customWidth="1"/>
    <col min="16140" max="16140" width="18.25" style="1" customWidth="1"/>
    <col min="16141" max="16141" width="13.75" style="1" customWidth="1"/>
    <col min="16142" max="16143" width="5.875" style="1" customWidth="1"/>
    <col min="16144" max="16144" width="30.375" style="1" customWidth="1"/>
    <col min="16145" max="16145" width="17.25" style="1" customWidth="1"/>
    <col min="16146" max="16147" width="5.875" style="1" customWidth="1"/>
    <col min="16148" max="16148" width="30.375" style="1" customWidth="1"/>
    <col min="16149" max="16149" width="17.25" style="1" customWidth="1"/>
    <col min="16150" max="16151" width="5.875" style="1" customWidth="1"/>
    <col min="16152" max="16152" width="30.375" style="1" customWidth="1"/>
    <col min="16153" max="16153" width="17.25" style="1" customWidth="1"/>
    <col min="16154" max="16155" width="5.875" style="1" customWidth="1"/>
    <col min="16156" max="16156" width="49.125" style="1" customWidth="1"/>
    <col min="16157" max="16157" width="8.375" style="1" customWidth="1"/>
    <col min="16158" max="16158" width="12.375" style="1" customWidth="1"/>
    <col min="16159" max="16159" width="14.375" style="1" customWidth="1"/>
    <col min="16160" max="16160" width="5.875" style="1" customWidth="1"/>
    <col min="16161" max="16161" width="8.375" style="1" customWidth="1"/>
    <col min="16162" max="16162" width="5.875" style="1" customWidth="1"/>
    <col min="16163" max="16163" width="11.125" style="1" customWidth="1"/>
    <col min="16164" max="16168" width="5.875" style="1" customWidth="1"/>
    <col min="16169" max="16169" width="8.875" style="1" customWidth="1"/>
    <col min="16170" max="16170" width="8.625" style="1" customWidth="1"/>
    <col min="16171" max="16171" width="10.625" style="1" customWidth="1"/>
    <col min="16172" max="16172" width="5.875" style="1" customWidth="1"/>
    <col min="16173" max="16173" width="7.875" style="1" customWidth="1"/>
    <col min="16174" max="16174" width="5.875" style="1" customWidth="1"/>
    <col min="16175" max="16175" width="8.125" style="1" customWidth="1"/>
    <col min="16176" max="16180" width="5.875" style="1" customWidth="1"/>
    <col min="16181" max="16384" width="9" style="1"/>
  </cols>
  <sheetData>
    <row r="1" ht="51" customHeight="1" spans="2:256">
      <c r="B1" s="7" t="s">
        <v>0</v>
      </c>
      <c r="C1" s="7"/>
      <c r="D1" s="8"/>
      <c r="E1" s="9" t="s">
        <v>1</v>
      </c>
      <c r="F1" s="10"/>
      <c r="G1" s="10"/>
      <c r="H1" s="10"/>
      <c r="I1" s="10"/>
      <c r="J1" s="10"/>
      <c r="K1" s="10"/>
      <c r="L1" s="89"/>
      <c r="M1" s="4"/>
      <c r="N1" s="2"/>
      <c r="O1" s="5"/>
      <c r="P1" s="6"/>
      <c r="Q1" s="1"/>
      <c r="R1" s="1"/>
      <c r="S1" s="1"/>
      <c r="T1" s="3"/>
      <c r="W1" s="1"/>
      <c r="AB1" s="2"/>
      <c r="AE1" s="1"/>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83"/>
      <c r="DN1" s="183"/>
      <c r="DO1" s="183"/>
      <c r="DP1" s="183"/>
      <c r="DQ1" s="183"/>
      <c r="DR1" s="183"/>
      <c r="DS1" s="183"/>
      <c r="DT1" s="183"/>
      <c r="DU1" s="183"/>
      <c r="DV1" s="183"/>
      <c r="DW1" s="183"/>
      <c r="DX1" s="183"/>
      <c r="DY1" s="183"/>
      <c r="DZ1" s="183"/>
      <c r="EA1" s="183"/>
      <c r="EB1" s="183"/>
      <c r="EC1" s="183"/>
      <c r="ED1" s="183"/>
      <c r="EE1" s="183"/>
      <c r="EF1" s="183"/>
      <c r="EG1" s="183"/>
      <c r="EH1" s="183"/>
      <c r="EI1" s="183"/>
      <c r="EJ1" s="183"/>
      <c r="EK1" s="183"/>
      <c r="EL1" s="183"/>
      <c r="EM1" s="183"/>
      <c r="EN1" s="183"/>
      <c r="EO1" s="183"/>
      <c r="EP1" s="183"/>
      <c r="EQ1" s="183"/>
      <c r="ER1" s="183"/>
      <c r="ES1" s="183"/>
      <c r="ET1" s="183"/>
      <c r="EU1" s="183"/>
      <c r="EV1" s="183"/>
      <c r="EW1" s="183"/>
      <c r="EX1" s="183"/>
      <c r="EY1" s="183"/>
      <c r="EZ1" s="183"/>
      <c r="FA1" s="183"/>
      <c r="FB1" s="183"/>
      <c r="FC1" s="183"/>
      <c r="FD1" s="183"/>
      <c r="FE1" s="183"/>
      <c r="FF1" s="183"/>
      <c r="FG1" s="183"/>
      <c r="FH1" s="183"/>
      <c r="FI1" s="183"/>
      <c r="FJ1" s="183"/>
      <c r="FK1" s="183"/>
      <c r="FL1" s="183"/>
      <c r="FM1" s="183"/>
      <c r="FN1" s="183"/>
      <c r="FO1" s="183"/>
      <c r="FP1" s="183"/>
      <c r="FQ1" s="183"/>
      <c r="FR1" s="183"/>
      <c r="FS1" s="183"/>
      <c r="FT1" s="183"/>
      <c r="FU1" s="183"/>
      <c r="FV1" s="183"/>
      <c r="FW1" s="183"/>
      <c r="FX1" s="183"/>
      <c r="FY1" s="183"/>
      <c r="FZ1" s="183"/>
      <c r="GA1" s="183"/>
      <c r="GB1" s="183"/>
      <c r="GC1" s="183"/>
      <c r="GD1" s="183"/>
      <c r="GE1" s="183"/>
      <c r="GF1" s="183"/>
      <c r="GG1" s="183"/>
      <c r="GH1" s="183"/>
      <c r="GI1" s="183"/>
      <c r="GJ1" s="183"/>
      <c r="GK1" s="183"/>
      <c r="GL1" s="183"/>
      <c r="GM1" s="183"/>
      <c r="GN1" s="183"/>
      <c r="GO1" s="183"/>
      <c r="GP1" s="183"/>
      <c r="GQ1" s="183"/>
      <c r="GR1" s="183"/>
      <c r="GS1" s="183"/>
      <c r="GT1" s="183"/>
      <c r="GU1" s="183"/>
      <c r="GV1" s="183"/>
      <c r="GW1" s="183"/>
      <c r="GX1" s="183"/>
      <c r="GY1" s="183"/>
      <c r="GZ1" s="183"/>
      <c r="HA1" s="183"/>
      <c r="HB1" s="183"/>
      <c r="HC1" s="183"/>
      <c r="HD1" s="183"/>
      <c r="HE1" s="183"/>
      <c r="HF1" s="183"/>
      <c r="HG1" s="183"/>
      <c r="HH1" s="183"/>
      <c r="HI1" s="183"/>
      <c r="HJ1" s="183"/>
      <c r="HK1" s="183"/>
      <c r="HL1" s="183"/>
      <c r="HM1" s="183"/>
      <c r="HN1" s="183"/>
      <c r="HO1" s="183"/>
      <c r="HP1" s="183"/>
      <c r="HQ1" s="183"/>
      <c r="HR1" s="183"/>
      <c r="HS1" s="183"/>
      <c r="HT1" s="183"/>
      <c r="HU1" s="183"/>
      <c r="HV1" s="183"/>
      <c r="HW1" s="183"/>
      <c r="HX1" s="183"/>
      <c r="HY1" s="183"/>
      <c r="HZ1" s="183"/>
      <c r="IA1" s="183"/>
      <c r="IB1" s="183"/>
      <c r="IC1" s="183"/>
      <c r="ID1" s="183"/>
      <c r="IE1" s="183"/>
      <c r="IF1" s="183"/>
      <c r="IG1" s="183"/>
      <c r="IH1" s="183"/>
      <c r="II1" s="183"/>
      <c r="IJ1" s="183"/>
      <c r="IK1" s="183"/>
      <c r="IL1" s="183"/>
      <c r="IM1" s="183"/>
      <c r="IN1" s="183"/>
      <c r="IO1" s="183"/>
      <c r="IP1" s="183"/>
      <c r="IQ1" s="183"/>
      <c r="IR1" s="183"/>
      <c r="IS1" s="183"/>
      <c r="IT1" s="183"/>
      <c r="IU1" s="183"/>
      <c r="IV1" s="183"/>
    </row>
    <row r="2" ht="35.1" customHeight="1" spans="2:19">
      <c r="B2" s="11" t="s">
        <v>2</v>
      </c>
      <c r="C2" s="12">
        <v>1080</v>
      </c>
      <c r="D2" s="13"/>
      <c r="E2" s="14" t="s">
        <v>3</v>
      </c>
      <c r="F2" s="14" t="s">
        <v>4</v>
      </c>
      <c r="G2" s="15" t="s">
        <v>5</v>
      </c>
      <c r="H2" s="15" t="s">
        <v>6</v>
      </c>
      <c r="I2" s="15" t="s">
        <v>7</v>
      </c>
      <c r="J2" s="15" t="s">
        <v>8</v>
      </c>
      <c r="K2" s="15" t="s">
        <v>9</v>
      </c>
      <c r="L2" s="90" t="str">
        <f>IF(OR(F33&gt;590-(C2/C3)*8.9,C2*C3&gt;(4096*2160)),IF(F33&gt;590-(C2/C3)*8.9,"The bandwidth is too high. Please reduce the resolution or refresh rate."),"OK")</f>
        <v>OK</v>
      </c>
      <c r="M2" s="91"/>
      <c r="N2" s="92"/>
      <c r="R2" s="1"/>
      <c r="S2" s="3"/>
    </row>
    <row r="3" ht="35.1" customHeight="1" spans="2:19">
      <c r="B3" s="11" t="s">
        <v>10</v>
      </c>
      <c r="C3" s="12">
        <v>7680</v>
      </c>
      <c r="D3" s="13"/>
      <c r="E3" s="16" t="s">
        <v>11</v>
      </c>
      <c r="F3" s="17">
        <f>F29</f>
        <v>1080</v>
      </c>
      <c r="G3" s="17">
        <f>J52</f>
        <v>48</v>
      </c>
      <c r="H3" s="17">
        <f>J53</f>
        <v>32</v>
      </c>
      <c r="I3" s="17">
        <f>J41</f>
        <v>1240</v>
      </c>
      <c r="J3" s="17" t="str">
        <f>F37</f>
        <v>POSITIVE</v>
      </c>
      <c r="K3" s="17"/>
      <c r="L3" s="17"/>
      <c r="M3" s="91"/>
      <c r="N3" s="92"/>
      <c r="R3" s="1"/>
      <c r="S3" s="3"/>
    </row>
    <row r="4" ht="35.1" customHeight="1" spans="2:19">
      <c r="B4" s="11" t="s">
        <v>12</v>
      </c>
      <c r="C4" s="12">
        <v>60</v>
      </c>
      <c r="D4" s="13"/>
      <c r="E4" s="16" t="s">
        <v>13</v>
      </c>
      <c r="F4" s="17">
        <f>F30</f>
        <v>7680</v>
      </c>
      <c r="G4" s="17">
        <f>J64</f>
        <v>23</v>
      </c>
      <c r="H4" s="17">
        <f>J65</f>
        <v>10</v>
      </c>
      <c r="I4" s="17">
        <f>J58</f>
        <v>7898</v>
      </c>
      <c r="J4" s="17" t="str">
        <f>F38</f>
        <v>NEGATIVE</v>
      </c>
      <c r="K4" s="17"/>
      <c r="L4" s="17"/>
      <c r="M4" s="91"/>
      <c r="N4" s="92"/>
      <c r="R4" s="1"/>
      <c r="S4" s="3"/>
    </row>
    <row r="5" spans="1:31">
      <c r="A5" s="18"/>
      <c r="B5" s="19"/>
      <c r="C5" s="19"/>
      <c r="D5" s="18"/>
      <c r="E5" s="19"/>
      <c r="F5" s="19"/>
      <c r="G5" s="18"/>
      <c r="H5" s="18"/>
      <c r="I5" s="18"/>
      <c r="J5" s="18"/>
      <c r="K5" s="18"/>
      <c r="L5" s="18"/>
      <c r="M5" s="18"/>
      <c r="R5" s="1"/>
      <c r="S5" s="3"/>
      <c r="W5" s="6"/>
      <c r="AE5" s="1"/>
    </row>
    <row r="6" ht="17.25" hidden="1" spans="1:31">
      <c r="A6" s="18"/>
      <c r="B6" s="19"/>
      <c r="C6" s="19"/>
      <c r="D6" s="18"/>
      <c r="E6" s="19"/>
      <c r="F6" s="19"/>
      <c r="G6" s="18"/>
      <c r="H6" s="18"/>
      <c r="I6" s="18"/>
      <c r="J6" s="18"/>
      <c r="K6" s="18"/>
      <c r="L6" s="18"/>
      <c r="M6" s="18"/>
      <c r="R6" s="1"/>
      <c r="S6" s="3"/>
      <c r="W6" s="6"/>
      <c r="AE6" s="1"/>
    </row>
    <row r="7" ht="24.95" hidden="1" customHeight="1" spans="1:58">
      <c r="A7" s="20"/>
      <c r="B7" s="21"/>
      <c r="C7" s="21"/>
      <c r="D7" s="22"/>
      <c r="E7" s="21"/>
      <c r="F7" s="21"/>
      <c r="G7" s="22"/>
      <c r="H7" s="22"/>
      <c r="I7" s="22"/>
      <c r="J7" s="21"/>
      <c r="K7" s="21"/>
      <c r="L7" s="22"/>
      <c r="M7" s="93"/>
      <c r="O7" s="94" t="s">
        <v>14</v>
      </c>
      <c r="P7" s="95"/>
      <c r="Q7" s="154"/>
      <c r="R7" s="1"/>
      <c r="S7" s="94" t="s">
        <v>15</v>
      </c>
      <c r="T7" s="155"/>
      <c r="U7" s="154"/>
      <c r="W7" s="94" t="s">
        <v>16</v>
      </c>
      <c r="X7" s="155"/>
      <c r="Y7" s="154"/>
      <c r="AA7" s="172" t="s">
        <v>17</v>
      </c>
      <c r="AB7" s="155"/>
      <c r="AC7" s="173"/>
      <c r="AE7" s="1"/>
      <c r="BE7" s="18"/>
      <c r="BF7" s="80"/>
    </row>
    <row r="8" ht="39.95" hidden="1" customHeight="1" spans="1:58">
      <c r="A8" s="23"/>
      <c r="B8" s="24" t="s">
        <v>18</v>
      </c>
      <c r="C8" s="24"/>
      <c r="D8" s="18"/>
      <c r="E8" s="25"/>
      <c r="F8" s="26"/>
      <c r="G8" s="27"/>
      <c r="H8" s="27"/>
      <c r="I8" s="27"/>
      <c r="J8" s="96"/>
      <c r="K8" s="97">
        <f>C2</f>
        <v>1080</v>
      </c>
      <c r="L8" s="98" t="str">
        <f>IF(H_PIXELS&lt;&gt;H_PIXELS_RND,"WARNING! - Rounded to Nearest Character Cell","")</f>
        <v/>
      </c>
      <c r="M8" s="99"/>
      <c r="O8" s="100"/>
      <c r="P8" s="101" t="s">
        <v>19</v>
      </c>
      <c r="Q8" s="156">
        <v>1</v>
      </c>
      <c r="R8" s="1"/>
      <c r="S8" s="110"/>
      <c r="T8" s="157" t="s">
        <v>20</v>
      </c>
      <c r="U8" s="156">
        <f>K100</f>
        <v>550</v>
      </c>
      <c r="W8" s="110"/>
      <c r="X8" s="18" t="s">
        <v>21</v>
      </c>
      <c r="Y8" s="156">
        <f>K123</f>
        <v>460</v>
      </c>
      <c r="AA8" s="174">
        <v>1</v>
      </c>
      <c r="AB8" s="18" t="str">
        <f>IF(OR(H_PIXELS="",V_LINES="",MARGINS_RQD?="",INT_RQD?="",IP_FREQ_RQD="",RED_BLANK_RQD?=""),"ERROR!  Invalid Input Parameters  ","")</f>
        <v/>
      </c>
      <c r="AC8" s="175" t="str">
        <f>IF(OR(H_PIXELS="",V_LINES="",MARGINS_RQD?="",INT_RQD?="",IP_FREQ_RQD="",RED_BLANK_RQD?=""),"Yes","")</f>
        <v/>
      </c>
      <c r="AE8" s="1"/>
      <c r="BE8" s="18"/>
      <c r="BF8" s="80"/>
    </row>
    <row r="9" ht="39.95" hidden="1" customHeight="1" spans="1:58">
      <c r="A9" s="23"/>
      <c r="B9" s="24" t="s">
        <v>22</v>
      </c>
      <c r="C9" s="24"/>
      <c r="D9" s="18"/>
      <c r="E9" s="25"/>
      <c r="F9" s="26"/>
      <c r="G9" s="27"/>
      <c r="H9" s="27"/>
      <c r="I9" s="27"/>
      <c r="J9" s="96"/>
      <c r="K9" s="97">
        <f>C3</f>
        <v>7680</v>
      </c>
      <c r="L9" s="98" t="str">
        <f>IF((V_LINES/IF(INT_RQD?="y",2,1))&lt;&gt;V_LINES_RND,"WARNING! - Rounded to Nearest Whole Line","")</f>
        <v/>
      </c>
      <c r="M9" s="99"/>
      <c r="O9" s="100"/>
      <c r="P9" s="101" t="s">
        <v>23</v>
      </c>
      <c r="Q9" s="156">
        <f>$K$83</f>
        <v>1.8</v>
      </c>
      <c r="R9" s="1"/>
      <c r="S9" s="110"/>
      <c r="T9" s="101" t="s">
        <v>24</v>
      </c>
      <c r="U9" s="156">
        <f>K94</f>
        <v>8</v>
      </c>
      <c r="W9" s="110"/>
      <c r="X9" s="80" t="s">
        <v>25</v>
      </c>
      <c r="Y9" s="156">
        <f>K121</f>
        <v>32</v>
      </c>
      <c r="AA9" s="174">
        <v>2</v>
      </c>
      <c r="AB9" s="18" t="str">
        <f>IF(H_PIXELS&lt;&gt;H_PIXELS_RND,"WARNING!  Horizontal Pixel Count Rounded to Nearest Character Cell","")</f>
        <v/>
      </c>
      <c r="AC9" s="175"/>
      <c r="AE9" s="1"/>
      <c r="BE9" s="18"/>
      <c r="BF9" s="80"/>
    </row>
    <row r="10" ht="39.95" hidden="1" customHeight="1" spans="1:58">
      <c r="A10" s="23"/>
      <c r="B10" s="24" t="s">
        <v>26</v>
      </c>
      <c r="C10" s="24"/>
      <c r="D10" s="18"/>
      <c r="E10" s="19"/>
      <c r="F10" s="19"/>
      <c r="G10" s="18"/>
      <c r="H10" s="18"/>
      <c r="I10" s="102"/>
      <c r="J10" s="18"/>
      <c r="K10" s="103" t="s">
        <v>27</v>
      </c>
      <c r="L10" s="98"/>
      <c r="M10" s="99"/>
      <c r="O10" s="104"/>
      <c r="P10" s="105" t="s">
        <v>28</v>
      </c>
      <c r="Q10" s="156">
        <f>ROUNDDOWN(MIN_V_PORCH,0)</f>
        <v>3</v>
      </c>
      <c r="R10" s="1"/>
      <c r="S10" s="104"/>
      <c r="T10" s="158"/>
      <c r="U10" s="159"/>
      <c r="W10" s="110"/>
      <c r="X10" s="18" t="s">
        <v>29</v>
      </c>
      <c r="Y10" s="156">
        <f>K120</f>
        <v>160</v>
      </c>
      <c r="AA10" s="174">
        <v>3</v>
      </c>
      <c r="AB10" s="18" t="str">
        <f>IF(V_LINES&lt;&gt;(V_LINES_RND*IF(INT_RQD?="Y",2,1)),"WARNING!  Vertical Pixel Count Rounded To Nearest Integer  ","")</f>
        <v/>
      </c>
      <c r="AC10" s="175"/>
      <c r="AE10" s="1"/>
      <c r="BE10" s="18"/>
      <c r="BF10" s="80"/>
    </row>
    <row r="11" ht="39.95" hidden="1" customHeight="1" spans="1:58">
      <c r="A11" s="23"/>
      <c r="B11" s="24" t="s">
        <v>30</v>
      </c>
      <c r="C11" s="24"/>
      <c r="D11" s="18"/>
      <c r="E11" s="19"/>
      <c r="F11" s="19"/>
      <c r="G11" s="18"/>
      <c r="H11" s="18"/>
      <c r="I11" s="102" t="s">
        <v>31</v>
      </c>
      <c r="J11" s="18"/>
      <c r="K11" s="103" t="s">
        <v>27</v>
      </c>
      <c r="L11" s="98"/>
      <c r="M11" s="99"/>
      <c r="O11" s="94" t="s">
        <v>32</v>
      </c>
      <c r="P11" s="95"/>
      <c r="Q11" s="154"/>
      <c r="R11" s="1"/>
      <c r="S11" s="160" t="s">
        <v>33</v>
      </c>
      <c r="T11" s="18"/>
      <c r="U11" s="161"/>
      <c r="V11" s="18"/>
      <c r="W11" s="94" t="s">
        <v>33</v>
      </c>
      <c r="X11" s="155"/>
      <c r="Y11" s="154"/>
      <c r="AA11" s="174">
        <v>4</v>
      </c>
      <c r="AB11" s="18" t="str">
        <f>IF(H36&lt;&gt;"","WARNING!  Aspect Ratio Not CVT Standard","")</f>
        <v>WARNING!  Aspect Ratio Not CVT Standard</v>
      </c>
      <c r="AC11" s="175"/>
      <c r="AE11" s="1"/>
      <c r="BE11" s="18"/>
      <c r="BF11" s="80"/>
    </row>
    <row r="12" ht="39.95" hidden="1" customHeight="1" spans="1:58">
      <c r="A12" s="23"/>
      <c r="B12" s="24" t="s">
        <v>34</v>
      </c>
      <c r="C12" s="24"/>
      <c r="D12" s="18"/>
      <c r="E12" s="19"/>
      <c r="F12" s="19"/>
      <c r="G12" s="27" t="str">
        <f>"NOTE: Actual frame rate will be within +/- 0.6Hz due to pixel clock rounding to "&amp;CLOCK_STEP&amp;"MHz."</f>
        <v>NOTE: Actual frame rate will be within +/- 0.6Hz due to pixel clock rounding to 0.001MHz.</v>
      </c>
      <c r="H12" s="28"/>
      <c r="I12" s="28"/>
      <c r="J12" s="106"/>
      <c r="K12" s="107">
        <f>C4</f>
        <v>60</v>
      </c>
      <c r="L12" s="108" t="s">
        <v>35</v>
      </c>
      <c r="M12" s="109"/>
      <c r="O12" s="110">
        <v>1</v>
      </c>
      <c r="P12" s="28" t="s">
        <v>36</v>
      </c>
      <c r="Q12" s="161"/>
      <c r="R12" s="1"/>
      <c r="S12" s="110">
        <f>O32+1</f>
        <v>8</v>
      </c>
      <c r="T12" s="80" t="s">
        <v>37</v>
      </c>
      <c r="U12" s="156"/>
      <c r="V12" s="18"/>
      <c r="W12" s="110">
        <f>O32+1</f>
        <v>8</v>
      </c>
      <c r="X12" s="80" t="s">
        <v>37</v>
      </c>
      <c r="Y12" s="156"/>
      <c r="AA12" s="174">
        <v>5</v>
      </c>
      <c r="AB12" s="18" t="str">
        <f>IF(OR(IP_FREQ_RQD=50,IP_FREQ_RQD=60,IP_FREQ_RQD=75,IP_FREQ_RQD=85),"","WARNING!  Refresh Rate Not a CVT Standard  ")</f>
        <v/>
      </c>
      <c r="AC12" s="175"/>
      <c r="AE12" s="1"/>
      <c r="BE12" s="18"/>
      <c r="BF12" s="80"/>
    </row>
    <row r="13" ht="39.95" hidden="1" customHeight="1" spans="1:58">
      <c r="A13" s="23"/>
      <c r="B13" s="24" t="s">
        <v>38</v>
      </c>
      <c r="C13" s="24"/>
      <c r="D13" s="18"/>
      <c r="E13" s="19"/>
      <c r="F13" s="19"/>
      <c r="G13" s="29"/>
      <c r="H13" s="30"/>
      <c r="I13" s="30"/>
      <c r="J13" s="28"/>
      <c r="K13" s="103" t="s">
        <v>39</v>
      </c>
      <c r="L13" s="98"/>
      <c r="M13" s="99"/>
      <c r="O13" s="110"/>
      <c r="P13" s="68" t="s">
        <v>40</v>
      </c>
      <c r="Q13" s="156">
        <f>(IF(INT_RQD?="y",IP_FREQ_RQD*2,IP_FREQ_RQD))</f>
        <v>60</v>
      </c>
      <c r="R13" s="1"/>
      <c r="S13" s="110"/>
      <c r="T13" s="80" t="s">
        <v>41</v>
      </c>
      <c r="U13" s="156">
        <f>((1/V_FIELD_RATE_RQD)-MIN_VSYNC_BP/1000000)/(V_LINES_RND+(2*TOP_MARGIN)+MIN_V_PORCH_RND+INTERLACE)*1000000</f>
        <v>2.09770488958306</v>
      </c>
      <c r="W13" s="110"/>
      <c r="X13" s="80" t="s">
        <v>41</v>
      </c>
      <c r="Y13" s="156">
        <f>((1000000/V_FIELD_RATE_RQD)-RB_MIN_V_BLANK)/(V_LINES_RND+TOP_MARGIN+BOT_MARGIN)</f>
        <v>2.11024305555556</v>
      </c>
      <c r="AA13" s="174">
        <v>6</v>
      </c>
      <c r="AB13" s="18" t="str">
        <f>IF(AND(RED_BLANK_RQD?="Y",IP_FREQ_RQD&lt;&gt;60),"WARNING!  60Hz Refresh Rate Advised For Reduced Blanking","")</f>
        <v/>
      </c>
      <c r="AC13" s="175"/>
      <c r="AE13" s="1"/>
      <c r="BE13" s="18"/>
      <c r="BF13" s="80"/>
    </row>
    <row r="14" ht="24.95" hidden="1" customHeight="1" spans="1:58">
      <c r="A14" s="23"/>
      <c r="B14" s="24"/>
      <c r="C14" s="24"/>
      <c r="D14" s="18"/>
      <c r="E14" s="19"/>
      <c r="F14" s="19"/>
      <c r="G14" s="29"/>
      <c r="H14" s="30"/>
      <c r="I14" s="30"/>
      <c r="J14" s="28"/>
      <c r="K14" s="24"/>
      <c r="L14" s="111"/>
      <c r="M14" s="99"/>
      <c r="O14" s="110"/>
      <c r="P14" s="68"/>
      <c r="Q14" s="156"/>
      <c r="R14" s="1"/>
      <c r="S14" s="110"/>
      <c r="T14" s="18"/>
      <c r="U14" s="161"/>
      <c r="W14" s="110"/>
      <c r="X14" s="18"/>
      <c r="Y14" s="161"/>
      <c r="AA14" s="176"/>
      <c r="AB14" s="18"/>
      <c r="AC14" s="175"/>
      <c r="AE14" s="1"/>
      <c r="BE14" s="18"/>
      <c r="BF14" s="80"/>
    </row>
    <row r="15" ht="24.95" hidden="1" customHeight="1" spans="1:58">
      <c r="A15" s="23"/>
      <c r="B15" s="24"/>
      <c r="C15" s="31" t="s">
        <v>42</v>
      </c>
      <c r="D15" s="32" t="str">
        <f>IF(AA16="","OK",AA16)</f>
        <v>WARNING!  Aspect Ratio Not CVT Standard
</v>
      </c>
      <c r="E15" s="33"/>
      <c r="F15" s="33"/>
      <c r="G15" s="34"/>
      <c r="H15" s="34"/>
      <c r="I15" s="34"/>
      <c r="J15" s="34"/>
      <c r="K15" s="34"/>
      <c r="L15" s="112"/>
      <c r="M15" s="113"/>
      <c r="O15" s="110">
        <f>O12+1</f>
        <v>2</v>
      </c>
      <c r="P15" s="68" t="s">
        <v>43</v>
      </c>
      <c r="Q15" s="156"/>
      <c r="R15" s="1"/>
      <c r="S15" s="110">
        <f>S12+1</f>
        <v>9</v>
      </c>
      <c r="T15" s="18" t="s">
        <v>44</v>
      </c>
      <c r="U15" s="161"/>
      <c r="W15" s="110">
        <f>W12+1</f>
        <v>9</v>
      </c>
      <c r="X15" s="80" t="s">
        <v>45</v>
      </c>
      <c r="Y15" s="156"/>
      <c r="AA15" s="172" t="s">
        <v>46</v>
      </c>
      <c r="AB15" s="155"/>
      <c r="AC15" s="173"/>
      <c r="AE15" s="1"/>
      <c r="BE15" s="18"/>
      <c r="BF15" s="80"/>
    </row>
    <row r="16" ht="24.95" hidden="1" customHeight="1" spans="1:58">
      <c r="A16" s="23"/>
      <c r="B16" s="24"/>
      <c r="C16" s="35"/>
      <c r="D16" s="36"/>
      <c r="E16" s="37"/>
      <c r="F16" s="37"/>
      <c r="G16" s="38"/>
      <c r="H16" s="38"/>
      <c r="I16" s="38"/>
      <c r="J16" s="38"/>
      <c r="K16" s="38"/>
      <c r="L16" s="114"/>
      <c r="M16" s="113"/>
      <c r="O16" s="110"/>
      <c r="P16" s="68" t="s">
        <v>47</v>
      </c>
      <c r="Q16" s="162">
        <f>ROUNDDOWN(H_PIXELS/CELL_GRAN_RND,0)*CELL_GRAN_RND</f>
        <v>1080</v>
      </c>
      <c r="R16" s="1"/>
      <c r="S16" s="110"/>
      <c r="T16" s="80" t="s">
        <v>48</v>
      </c>
      <c r="U16" s="163">
        <f>ROUNDDOWN((MIN_VSYNC_BP/H_PERIOD_EST),0)+1</f>
        <v>261</v>
      </c>
      <c r="W16" s="110"/>
      <c r="X16" s="80" t="s">
        <v>49</v>
      </c>
      <c r="Y16" s="156">
        <f>ROUNDDOWN(RB_MIN_V_BLANK/H_PERIOD_EST,0)+1</f>
        <v>218</v>
      </c>
      <c r="AA16" s="177" t="str">
        <f>IF(AB8&lt;&gt;"",AB8&amp;CHAR(10),"")&amp;IF(AB9&lt;&gt;"",AB9&amp;CHAR(10),"")&amp;IF(AB10&lt;&gt;"",AB10&amp;CHAR(10),"")&amp;IF(AB11&lt;&gt;"",AB11&amp;CHAR(10),"")&amp;IF(AB12&lt;&gt;"",AB12&amp;CHAR(10),"")&amp;IF(AB13&lt;&gt;"",AB13&amp;CHAR(10),"")</f>
        <v>WARNING!  Aspect Ratio Not CVT Standard
</v>
      </c>
      <c r="AB16" s="50"/>
      <c r="AC16" s="178"/>
      <c r="AE16" s="1"/>
      <c r="BE16" s="18"/>
      <c r="BF16" s="80"/>
    </row>
    <row r="17" ht="24.95" hidden="1" customHeight="1" spans="1:58">
      <c r="A17" s="23"/>
      <c r="B17" s="24"/>
      <c r="C17" s="35"/>
      <c r="D17" s="36"/>
      <c r="E17" s="37"/>
      <c r="F17" s="37"/>
      <c r="G17" s="38"/>
      <c r="H17" s="38"/>
      <c r="I17" s="38"/>
      <c r="J17" s="38"/>
      <c r="K17" s="38"/>
      <c r="L17" s="114"/>
      <c r="M17" s="113"/>
      <c r="O17" s="110"/>
      <c r="P17" s="28"/>
      <c r="Q17" s="156"/>
      <c r="R17" s="1"/>
      <c r="S17" s="110"/>
      <c r="T17" s="80" t="s">
        <v>50</v>
      </c>
      <c r="U17" s="161">
        <f>((MIN_VSYNC_BP/H_PERIOD_EST))</f>
        <v>260.633484162896</v>
      </c>
      <c r="V17" s="80"/>
      <c r="W17" s="110"/>
      <c r="X17" s="18" t="s">
        <v>51</v>
      </c>
      <c r="Y17" s="161">
        <f>RB_MIN_V_BLANK/H_PERIOD_EST</f>
        <v>217.984368572604</v>
      </c>
      <c r="AA17" s="179"/>
      <c r="AB17" s="50"/>
      <c r="AC17" s="178"/>
      <c r="AE17" s="1"/>
      <c r="BE17" s="18"/>
      <c r="BF17" s="80"/>
    </row>
    <row r="18" ht="24.95" hidden="1" customHeight="1" spans="1:58">
      <c r="A18" s="23"/>
      <c r="B18" s="24"/>
      <c r="C18" s="35"/>
      <c r="D18" s="36"/>
      <c r="E18" s="37"/>
      <c r="F18" s="37"/>
      <c r="G18" s="38"/>
      <c r="H18" s="38"/>
      <c r="I18" s="38"/>
      <c r="J18" s="38"/>
      <c r="K18" s="38"/>
      <c r="L18" s="114"/>
      <c r="M18" s="113"/>
      <c r="O18" s="110">
        <f>O15+1</f>
        <v>3</v>
      </c>
      <c r="P18" s="28" t="s">
        <v>52</v>
      </c>
      <c r="Q18" s="156"/>
      <c r="R18" s="1"/>
      <c r="S18" s="110"/>
      <c r="T18" s="80" t="s">
        <v>53</v>
      </c>
      <c r="U18" s="161">
        <f>IF(U16&lt;(V_SYNC+MIN_V_BPORCH),V_SYNC+MIN_V_BPORCH,U16)</f>
        <v>261</v>
      </c>
      <c r="W18" s="110"/>
      <c r="X18" s="18"/>
      <c r="Y18" s="161"/>
      <c r="AA18" s="180"/>
      <c r="AB18" s="181"/>
      <c r="AC18" s="182"/>
      <c r="AE18" s="1"/>
      <c r="BE18" s="18"/>
      <c r="BF18" s="80"/>
    </row>
    <row r="19" ht="24.95" hidden="1" customHeight="1" spans="1:58">
      <c r="A19" s="23"/>
      <c r="B19" s="24"/>
      <c r="C19" s="35"/>
      <c r="D19" s="36"/>
      <c r="E19" s="37"/>
      <c r="F19" s="37"/>
      <c r="G19" s="38"/>
      <c r="H19" s="38"/>
      <c r="I19" s="38"/>
      <c r="J19" s="38"/>
      <c r="K19" s="38"/>
      <c r="L19" s="114"/>
      <c r="M19" s="113"/>
      <c r="O19" s="110"/>
      <c r="P19" s="68" t="s">
        <v>54</v>
      </c>
      <c r="Q19" s="162">
        <f>(IF(MARGINS_RQD?="Y",(ROUNDDOWN((H_PIXELS_RND*MARGIN_PER/100/CELL_GRAN_RND),0))*CELL_GRAN_RND,0))</f>
        <v>0</v>
      </c>
      <c r="R19" s="1"/>
      <c r="S19" s="110"/>
      <c r="T19" s="80"/>
      <c r="U19" s="161"/>
      <c r="V19" s="80"/>
      <c r="W19" s="110">
        <f>W15+1</f>
        <v>10</v>
      </c>
      <c r="X19" s="164" t="s">
        <v>55</v>
      </c>
      <c r="Y19" s="161"/>
      <c r="AA19" s="2"/>
      <c r="AE19" s="1"/>
      <c r="BE19" s="18"/>
      <c r="BF19" s="80"/>
    </row>
    <row r="20" ht="24.95" hidden="1" customHeight="1" spans="1:58">
      <c r="A20" s="23"/>
      <c r="B20" s="24"/>
      <c r="C20" s="35"/>
      <c r="D20" s="39"/>
      <c r="E20" s="40"/>
      <c r="F20" s="40"/>
      <c r="G20" s="41"/>
      <c r="H20" s="41"/>
      <c r="I20" s="41"/>
      <c r="J20" s="41"/>
      <c r="K20" s="41"/>
      <c r="L20" s="115"/>
      <c r="M20" s="113"/>
      <c r="O20" s="110"/>
      <c r="P20" s="68" t="s">
        <v>56</v>
      </c>
      <c r="Q20" s="162">
        <f>(IF(MARGINS_RQD?="Y",(ROUNDDOWN((H_PIXELS_RND*MARGIN_PER/100/CELL_GRAN_RND),0))*CELL_GRAN_RND,0))</f>
        <v>0</v>
      </c>
      <c r="R20" s="1"/>
      <c r="S20" s="110">
        <f>S15+1</f>
        <v>10</v>
      </c>
      <c r="T20" s="18" t="s">
        <v>57</v>
      </c>
      <c r="U20" s="161"/>
      <c r="V20" s="80"/>
      <c r="W20" s="110"/>
      <c r="X20" s="164" t="s">
        <v>58</v>
      </c>
      <c r="Y20" s="161">
        <f>RB_V_FPORCH+V_SYNC_RND+MIN_V_BPORCH</f>
        <v>39</v>
      </c>
      <c r="AA20" s="2"/>
      <c r="AE20" s="1"/>
      <c r="BE20" s="18"/>
      <c r="BF20" s="80"/>
    </row>
    <row r="21" ht="24.95" hidden="1" customHeight="1" spans="1:58">
      <c r="A21" s="42"/>
      <c r="B21" s="43"/>
      <c r="C21" s="44"/>
      <c r="D21" s="45"/>
      <c r="E21" s="44"/>
      <c r="F21" s="44"/>
      <c r="G21" s="45"/>
      <c r="H21" s="45"/>
      <c r="I21" s="45"/>
      <c r="J21" s="45"/>
      <c r="K21" s="116"/>
      <c r="L21" s="117"/>
      <c r="M21" s="118"/>
      <c r="O21" s="110"/>
      <c r="P21" s="68"/>
      <c r="Q21" s="162"/>
      <c r="R21" s="1"/>
      <c r="S21" s="110"/>
      <c r="T21" s="18" t="s">
        <v>59</v>
      </c>
      <c r="U21" s="162">
        <f>V_SYNC_BP-V_SYNC_RND</f>
        <v>251</v>
      </c>
      <c r="W21" s="110"/>
      <c r="X21" s="164" t="s">
        <v>60</v>
      </c>
      <c r="Y21" s="161">
        <f>IF(VBI_LINES&lt;RB_MIN_VBI,RB_MIN_VBI,VBI_LINES)</f>
        <v>218</v>
      </c>
      <c r="AA21" s="2"/>
      <c r="AE21" s="1"/>
      <c r="BE21" s="18"/>
      <c r="BF21" s="80"/>
    </row>
    <row r="22" ht="24.95" hidden="1" customHeight="1" spans="1:58">
      <c r="A22" s="22"/>
      <c r="B22" s="46"/>
      <c r="C22" s="21"/>
      <c r="D22" s="22"/>
      <c r="E22" s="21"/>
      <c r="F22" s="21"/>
      <c r="G22" s="22"/>
      <c r="H22" s="22"/>
      <c r="I22" s="22"/>
      <c r="J22" s="22"/>
      <c r="K22" s="119"/>
      <c r="L22" s="120"/>
      <c r="M22" s="22"/>
      <c r="O22" s="110">
        <f>O18+1</f>
        <v>4</v>
      </c>
      <c r="P22" s="68" t="s">
        <v>61</v>
      </c>
      <c r="Q22" s="162"/>
      <c r="R22" s="1"/>
      <c r="S22" s="110"/>
      <c r="T22" s="18"/>
      <c r="U22" s="161"/>
      <c r="W22" s="110"/>
      <c r="X22" s="18"/>
      <c r="Y22" s="161"/>
      <c r="AA22" s="2"/>
      <c r="AE22" s="1"/>
      <c r="BE22" s="18"/>
      <c r="BF22" s="80"/>
    </row>
    <row r="23" ht="24.95" hidden="1" customHeight="1" spans="1:58">
      <c r="A23" s="18"/>
      <c r="B23" s="47"/>
      <c r="C23" s="19"/>
      <c r="D23" s="18"/>
      <c r="E23" s="19"/>
      <c r="F23" s="19"/>
      <c r="G23" s="18"/>
      <c r="H23" s="18"/>
      <c r="I23" s="18"/>
      <c r="J23" s="18"/>
      <c r="K23" s="24"/>
      <c r="L23" s="80"/>
      <c r="M23" s="18"/>
      <c r="O23" s="110"/>
      <c r="P23" s="28" t="s">
        <v>62</v>
      </c>
      <c r="Q23" s="162">
        <f>H_PIXELS_RND+LEFT_MARGIN+RIGHT_MARGIN</f>
        <v>1080</v>
      </c>
      <c r="R23" s="1"/>
      <c r="S23" s="110">
        <f>S20+1</f>
        <v>11</v>
      </c>
      <c r="T23" s="80" t="s">
        <v>63</v>
      </c>
      <c r="U23" s="156"/>
      <c r="W23" s="110">
        <f>W19+1</f>
        <v>11</v>
      </c>
      <c r="X23" s="80" t="s">
        <v>63</v>
      </c>
      <c r="Y23" s="156"/>
      <c r="AA23" s="2"/>
      <c r="AE23" s="1"/>
      <c r="BE23" s="18"/>
      <c r="BF23" s="80"/>
    </row>
    <row r="24" ht="24.95" hidden="1" customHeight="1" spans="1:58">
      <c r="A24" s="48" t="str">
        <f>"Format: "&amp;F29&amp;" x "&amp;F30&amp;" @ "&amp;IP_FREQ_RQD&amp;" Hz"&amp;IF(RED_BLANK_RQD?="Y"," - Reduced Blanking","")</f>
        <v>Format: 1080 x 7680 @ 60 Hz - Reduced Blanking</v>
      </c>
      <c r="B24" s="49"/>
      <c r="C24" s="49"/>
      <c r="D24" s="50"/>
      <c r="E24" s="49"/>
      <c r="F24" s="49"/>
      <c r="G24" s="50"/>
      <c r="H24" s="50"/>
      <c r="I24" s="50"/>
      <c r="J24" s="50"/>
      <c r="K24" s="50"/>
      <c r="L24" s="50"/>
      <c r="M24" s="50"/>
      <c r="O24" s="110"/>
      <c r="P24" s="28"/>
      <c r="Q24" s="162"/>
      <c r="R24" s="1"/>
      <c r="S24" s="110"/>
      <c r="T24" s="56" t="s">
        <v>64</v>
      </c>
      <c r="U24" s="163">
        <f>V_LINES_RND+TOP_MARGIN+BOT_MARGIN+V_SYNC_BP+INTERLACE+MIN_V_PORCH_RND</f>
        <v>7944</v>
      </c>
      <c r="W24" s="110"/>
      <c r="X24" s="56" t="s">
        <v>64</v>
      </c>
      <c r="Y24" s="156">
        <f>ACT_VBI_LINES+V_LINES_RND+TOP_MARGIN+BOT_MARGIN+INTERLACE</f>
        <v>7898</v>
      </c>
      <c r="AA24" s="2"/>
      <c r="AE24" s="1"/>
      <c r="BE24" s="18"/>
      <c r="BF24" s="80"/>
    </row>
    <row r="25" ht="24.95" hidden="1" customHeight="1" spans="1:58">
      <c r="A25" s="50"/>
      <c r="B25" s="49"/>
      <c r="C25" s="49"/>
      <c r="D25" s="50"/>
      <c r="E25" s="49"/>
      <c r="F25" s="49"/>
      <c r="G25" s="50"/>
      <c r="H25" s="50"/>
      <c r="I25" s="50"/>
      <c r="J25" s="50"/>
      <c r="K25" s="50"/>
      <c r="L25" s="50"/>
      <c r="M25" s="50"/>
      <c r="O25" s="110">
        <f>O22+1</f>
        <v>5</v>
      </c>
      <c r="P25" s="121" t="s">
        <v>65</v>
      </c>
      <c r="Q25" s="162"/>
      <c r="R25" s="1"/>
      <c r="S25" s="110"/>
      <c r="T25" s="80"/>
      <c r="U25" s="156"/>
      <c r="W25" s="110"/>
      <c r="X25" s="18"/>
      <c r="Y25" s="161"/>
      <c r="AA25" s="2"/>
      <c r="AE25" s="1"/>
      <c r="BE25" s="18"/>
      <c r="BF25" s="80"/>
    </row>
    <row r="26" ht="24.95" hidden="1" customHeight="1" spans="1:58">
      <c r="A26" s="48" t="str">
        <f>"VESA CVT Name: "&amp;IF(D15="OK",TEXT(H_PIXELS_RND*V_LINES_RND/1000000,"0.00")&amp;"M"&amp;IF(ASPECT_RATIO="4:3","3",IF(ASPECT_RATIO="5:4","4",IF(OR(ASPECT_RATIO="15:9",ASPECT_RATIO="16:9"),"9",IF(ASPECT_RATIO="16:10","A",""))))&amp;IF(RED_BLANK_RQD?="Y","-R",""),"NOT CVT STANDARD! - "&amp;TEXT(H_PIXELS_RND*V_LINES_RND/1000000,"0.00")&amp;" Mega Pixel Image")</f>
        <v>VESA CVT Name: NOT CVT STANDARD! - 8.29 Mega Pixel Image</v>
      </c>
      <c r="B26" s="49"/>
      <c r="C26" s="49"/>
      <c r="D26" s="50"/>
      <c r="E26" s="49"/>
      <c r="F26" s="49"/>
      <c r="G26" s="50"/>
      <c r="H26" s="50"/>
      <c r="I26" s="50"/>
      <c r="J26" s="50"/>
      <c r="K26" s="50"/>
      <c r="L26" s="50"/>
      <c r="M26" s="50"/>
      <c r="O26" s="110"/>
      <c r="P26" s="68" t="s">
        <v>66</v>
      </c>
      <c r="Q26" s="162">
        <f>IF(INT_RQD?="y",ROUNDDOWN(V_LINES/2,0),ROUNDDOWN(V_LINES,0))</f>
        <v>7680</v>
      </c>
      <c r="R26" s="1"/>
      <c r="S26" s="110">
        <f>S23+1</f>
        <v>12</v>
      </c>
      <c r="T26" s="18" t="s">
        <v>67</v>
      </c>
      <c r="U26" s="161"/>
      <c r="W26" s="110">
        <f>W23+1</f>
        <v>12</v>
      </c>
      <c r="X26" s="80" t="s">
        <v>68</v>
      </c>
      <c r="Y26" s="156"/>
      <c r="AA26" s="2"/>
      <c r="AE26" s="1"/>
      <c r="BE26" s="18"/>
      <c r="BF26" s="80"/>
    </row>
    <row r="27" ht="24.95" hidden="1" customHeight="1" spans="1:58">
      <c r="A27" s="50"/>
      <c r="B27" s="49"/>
      <c r="C27" s="49"/>
      <c r="D27" s="50"/>
      <c r="E27" s="49"/>
      <c r="F27" s="49"/>
      <c r="G27" s="50"/>
      <c r="H27" s="50"/>
      <c r="I27" s="50"/>
      <c r="J27" s="50"/>
      <c r="K27" s="50"/>
      <c r="L27" s="50"/>
      <c r="M27" s="50"/>
      <c r="O27" s="110"/>
      <c r="P27" s="68"/>
      <c r="Q27" s="162"/>
      <c r="R27" s="1"/>
      <c r="S27" s="110"/>
      <c r="T27" s="80" t="s">
        <v>69</v>
      </c>
      <c r="U27" s="156">
        <f>C_PRIME-(M_PRIME*H_PERIOD_EST/1000)</f>
        <v>29.3669270833333</v>
      </c>
      <c r="W27" s="110"/>
      <c r="X27" s="80" t="s">
        <v>70</v>
      </c>
      <c r="Y27" s="156">
        <f>RB_H_BLANK+TOTAL_ACTIVE_PIXELS</f>
        <v>1240</v>
      </c>
      <c r="AA27" s="2"/>
      <c r="AE27" s="1"/>
      <c r="BE27" s="18"/>
      <c r="BF27" s="80"/>
    </row>
    <row r="28" ht="24.95" hidden="1" customHeight="1" spans="1:58">
      <c r="A28" s="51"/>
      <c r="B28" s="52"/>
      <c r="C28" s="52"/>
      <c r="D28" s="52"/>
      <c r="E28" s="52"/>
      <c r="F28" s="52"/>
      <c r="G28" s="52"/>
      <c r="H28" s="53"/>
      <c r="I28" s="52"/>
      <c r="J28" s="122"/>
      <c r="K28" s="52"/>
      <c r="L28" s="52"/>
      <c r="M28" s="123"/>
      <c r="O28" s="110">
        <f>O25+1</f>
        <v>6</v>
      </c>
      <c r="P28" s="68" t="s">
        <v>71</v>
      </c>
      <c r="Q28" s="162"/>
      <c r="R28" s="1"/>
      <c r="S28" s="110"/>
      <c r="T28" s="80"/>
      <c r="U28" s="156"/>
      <c r="W28" s="110"/>
      <c r="X28" s="18"/>
      <c r="Y28" s="161"/>
      <c r="AA28" s="2"/>
      <c r="AE28" s="1"/>
      <c r="BE28" s="18"/>
      <c r="BF28" s="80"/>
    </row>
    <row r="29" ht="24.95" hidden="1" customHeight="1" spans="1:58">
      <c r="A29" s="23"/>
      <c r="B29" s="24" t="s">
        <v>72</v>
      </c>
      <c r="C29" s="19"/>
      <c r="D29" s="18"/>
      <c r="E29" s="19"/>
      <c r="F29" s="54">
        <f>H_PIXELS_RND</f>
        <v>1080</v>
      </c>
      <c r="G29" s="28" t="s">
        <v>73</v>
      </c>
      <c r="H29" s="55"/>
      <c r="I29" s="18"/>
      <c r="J29" s="124"/>
      <c r="K29" s="19"/>
      <c r="L29" s="18"/>
      <c r="M29" s="125"/>
      <c r="O29" s="110"/>
      <c r="P29" s="68" t="s">
        <v>74</v>
      </c>
      <c r="Q29" s="162">
        <f>(IF(MARGINS_RQD?="Y",ROUNDDOWN((MARGIN_PER/100*V_LINES_RND),0),0))</f>
        <v>0</v>
      </c>
      <c r="R29" s="1"/>
      <c r="S29" s="110">
        <f>S26+1</f>
        <v>13</v>
      </c>
      <c r="T29" s="80" t="s">
        <v>75</v>
      </c>
      <c r="U29" s="156"/>
      <c r="W29" s="110">
        <f>W26+1</f>
        <v>13</v>
      </c>
      <c r="X29" s="164" t="s">
        <v>76</v>
      </c>
      <c r="Y29" s="156"/>
      <c r="AA29" s="2"/>
      <c r="AE29" s="1"/>
      <c r="BE29" s="18"/>
      <c r="BF29" s="80"/>
    </row>
    <row r="30" ht="24.95" hidden="1" customHeight="1" spans="1:58">
      <c r="A30" s="23"/>
      <c r="B30" s="24" t="s">
        <v>77</v>
      </c>
      <c r="C30" s="19"/>
      <c r="D30" s="18"/>
      <c r="E30" s="24" t="str">
        <f>(IF(INT_RQD?="y","PER FRAME:",""))</f>
        <v/>
      </c>
      <c r="F30" s="54">
        <f>IF(INT_RQD?="y",2*V_LINES_RND,V_LINES_RND)</f>
        <v>7680</v>
      </c>
      <c r="G30" s="28" t="s">
        <v>78</v>
      </c>
      <c r="H30" s="55"/>
      <c r="I30" s="126" t="str">
        <f>(IF(INT_RQD?="y","PER FIELD:",""))</f>
        <v/>
      </c>
      <c r="J30" s="54" t="str">
        <f>(IF(INT_RQD?="y",V_LINES_RND,""))</f>
        <v/>
      </c>
      <c r="K30" s="28" t="str">
        <f>(IF($K$11="y","LINES",""))</f>
        <v/>
      </c>
      <c r="L30" s="18"/>
      <c r="M30" s="125"/>
      <c r="O30" s="110"/>
      <c r="P30" s="68" t="s">
        <v>79</v>
      </c>
      <c r="Q30" s="162">
        <f>(IF(MARGINS_RQD?="Y",ROUNDDOWN((MARGIN_PER/100*V_LINES_RND),0),0))</f>
        <v>0</v>
      </c>
      <c r="R30" s="1"/>
      <c r="S30" s="110"/>
      <c r="T30" s="80" t="s">
        <v>80</v>
      </c>
      <c r="U30" s="162">
        <f>IF(IDEAL_DUTY_CYCLE&lt;20,(ROUNDDOWN((TOTAL_ACTIVE_PIXELS*20/(100-20)/(2*CELL_GRAN_RND)),0))*(2*CELL_GRAN_RND),(ROUNDDOWN((TOTAL_ACTIVE_PIXELS*IDEAL_DUTY_CYCLE/(100-IDEAL_DUTY_CYCLE)/(2*CELL_GRAN_RND)),0))*(2*CELL_GRAN_RND))</f>
        <v>448</v>
      </c>
      <c r="W30" s="110"/>
      <c r="X30" s="164" t="str">
        <f>"Rounded down to "&amp;CLOCK_STEP&amp;"MHz ="</f>
        <v>Rounded down to 0.001MHz =</v>
      </c>
      <c r="Y30" s="156">
        <f>CLOCK_STEP*ROUNDDOWN((V_FIELD_RATE_RQD*TOTAL_V_LINES*TOTAL_PIXELS/1000000)/CLOCK_STEP,0)</f>
        <v>587.611</v>
      </c>
      <c r="AA30" s="2"/>
      <c r="AE30" s="1"/>
      <c r="BE30" s="18"/>
      <c r="BF30" s="80"/>
    </row>
    <row r="31" ht="24.95" hidden="1" customHeight="1" spans="1:58">
      <c r="A31" s="23"/>
      <c r="B31" s="24" t="s">
        <v>81</v>
      </c>
      <c r="C31" s="19"/>
      <c r="D31" s="18"/>
      <c r="E31" s="19"/>
      <c r="F31" s="25">
        <f>ACT_H_FREQ</f>
        <v>473.879838709677</v>
      </c>
      <c r="G31" s="28" t="s">
        <v>82</v>
      </c>
      <c r="H31" s="56"/>
      <c r="I31" s="18"/>
      <c r="J31" s="124"/>
      <c r="K31" s="19"/>
      <c r="L31" s="18"/>
      <c r="M31" s="125"/>
      <c r="O31" s="110"/>
      <c r="P31" s="28"/>
      <c r="Q31" s="156"/>
      <c r="R31" s="1"/>
      <c r="S31" s="110"/>
      <c r="T31" s="80"/>
      <c r="U31" s="156"/>
      <c r="W31" s="110"/>
      <c r="X31" s="164" t="s">
        <v>83</v>
      </c>
      <c r="Y31" s="156">
        <f>V_FIELD_RATE_RQD*TOTAL_V_LINES*TOTAL_PIXELS/1000000</f>
        <v>587.6112</v>
      </c>
      <c r="AA31" s="2"/>
      <c r="AE31" s="1"/>
      <c r="BE31" s="18"/>
      <c r="BF31" s="80"/>
    </row>
    <row r="32" ht="24.95" hidden="1" customHeight="1" spans="1:58">
      <c r="A32" s="23"/>
      <c r="B32" s="24" t="s">
        <v>84</v>
      </c>
      <c r="C32" s="19"/>
      <c r="D32" s="18"/>
      <c r="E32" s="24" t="str">
        <f>(IF(INT_RQD?="y","FRAME RATE:",""))</f>
        <v/>
      </c>
      <c r="F32" s="25">
        <f>ACT_FRAME_RATE</f>
        <v>59.9999795783334</v>
      </c>
      <c r="G32" s="28" t="s">
        <v>35</v>
      </c>
      <c r="H32" s="57"/>
      <c r="I32" s="126" t="str">
        <f>(IF(INT_RQD?="y","FIELD RATE:",""))</f>
        <v/>
      </c>
      <c r="J32" s="57" t="str">
        <f>(IF(INT_RQD?="y",ACT_FIELD_RATE,""))</f>
        <v/>
      </c>
      <c r="K32" s="18" t="str">
        <f>(IF($K$11="y","Hz",""))</f>
        <v/>
      </c>
      <c r="L32" s="18"/>
      <c r="M32" s="125"/>
      <c r="O32" s="110">
        <f>O28+1</f>
        <v>7</v>
      </c>
      <c r="P32" s="121" t="s">
        <v>85</v>
      </c>
      <c r="Q32" s="156"/>
      <c r="R32" s="1"/>
      <c r="S32" s="110">
        <f>S29+1</f>
        <v>14</v>
      </c>
      <c r="T32" s="80" t="s">
        <v>68</v>
      </c>
      <c r="U32" s="156"/>
      <c r="W32" s="110"/>
      <c r="X32" s="18"/>
      <c r="Y32" s="161"/>
      <c r="AA32" s="2"/>
      <c r="AE32" s="1"/>
      <c r="BE32" s="18"/>
      <c r="BF32" s="80"/>
    </row>
    <row r="33" ht="24.95" hidden="1" customHeight="1" spans="1:58">
      <c r="A33" s="23"/>
      <c r="B33" s="24" t="s">
        <v>86</v>
      </c>
      <c r="C33" s="19"/>
      <c r="D33" s="18"/>
      <c r="E33" s="19"/>
      <c r="F33" s="25">
        <f>ACT_PIXEL_FREQ</f>
        <v>587.611</v>
      </c>
      <c r="G33" s="28" t="s">
        <v>87</v>
      </c>
      <c r="H33" s="56"/>
      <c r="I33" s="18"/>
      <c r="J33" s="69">
        <v>1</v>
      </c>
      <c r="K33" s="18" t="s">
        <v>73</v>
      </c>
      <c r="L33" s="18"/>
      <c r="M33" s="125"/>
      <c r="O33" s="104"/>
      <c r="P33" s="127" t="s">
        <v>88</v>
      </c>
      <c r="Q33" s="165">
        <f>(IF(INT_RQD?="y",0.5,0))</f>
        <v>0</v>
      </c>
      <c r="R33" s="1"/>
      <c r="S33" s="110"/>
      <c r="T33" s="80" t="s">
        <v>70</v>
      </c>
      <c r="U33" s="162">
        <f>TOTAL_ACTIVE_PIXELS+H_BLANK</f>
        <v>1240</v>
      </c>
      <c r="W33" s="110">
        <f>W29+1</f>
        <v>14</v>
      </c>
      <c r="X33" s="18" t="s">
        <v>89</v>
      </c>
      <c r="Y33" s="156"/>
      <c r="AA33" s="2"/>
      <c r="AE33" s="1"/>
      <c r="BE33" s="18"/>
      <c r="BF33" s="80"/>
    </row>
    <row r="34" ht="24.95" hidden="1" customHeight="1" spans="1:58">
      <c r="A34" s="23"/>
      <c r="B34" s="24" t="s">
        <v>90</v>
      </c>
      <c r="C34" s="19"/>
      <c r="D34" s="18"/>
      <c r="E34" s="19"/>
      <c r="F34" s="25">
        <f>CELL_GRAN_RND*1000/ACT_PIXEL_FREQ</f>
        <v>1.70180612684242</v>
      </c>
      <c r="G34" s="18" t="s">
        <v>91</v>
      </c>
      <c r="H34" s="56"/>
      <c r="I34" s="18"/>
      <c r="J34" s="69">
        <f>CELL_GRAN_RND</f>
        <v>1</v>
      </c>
      <c r="K34" s="18" t="s">
        <v>73</v>
      </c>
      <c r="L34" s="18"/>
      <c r="M34" s="125"/>
      <c r="O34" s="128"/>
      <c r="P34" s="129"/>
      <c r="Q34" s="166"/>
      <c r="R34" s="1"/>
      <c r="S34" s="110"/>
      <c r="T34" s="18"/>
      <c r="U34" s="156"/>
      <c r="W34" s="110"/>
      <c r="X34" s="80" t="s">
        <v>92</v>
      </c>
      <c r="Y34" s="156">
        <f>1000*ACT_PIXEL_FREQ/TOTAL_PIXELS</f>
        <v>473.879838709677</v>
      </c>
      <c r="AA34" s="2"/>
      <c r="AE34" s="1"/>
      <c r="BE34" s="18"/>
      <c r="BF34" s="80"/>
    </row>
    <row r="35" ht="24.95" hidden="1" customHeight="1" spans="1:58">
      <c r="A35" s="23"/>
      <c r="B35" s="24" t="s">
        <v>93</v>
      </c>
      <c r="C35" s="19"/>
      <c r="D35" s="18"/>
      <c r="E35" s="19"/>
      <c r="F35" s="25" t="str">
        <f>(IF(INT_RQD?="y","INTERLACED","NON-INT"))</f>
        <v>NON-INT</v>
      </c>
      <c r="G35" s="28"/>
      <c r="H35" s="56"/>
      <c r="I35" s="130"/>
      <c r="J35" s="124"/>
      <c r="K35" s="130"/>
      <c r="L35" s="18"/>
      <c r="M35" s="125"/>
      <c r="O35" s="131" t="s">
        <v>94</v>
      </c>
      <c r="P35" s="95"/>
      <c r="Q35" s="154"/>
      <c r="R35" s="1"/>
      <c r="S35" s="167">
        <f>S32+1</f>
        <v>15</v>
      </c>
      <c r="T35" s="164" t="s">
        <v>76</v>
      </c>
      <c r="U35" s="161"/>
      <c r="W35" s="110"/>
      <c r="X35" s="18"/>
      <c r="Y35" s="161"/>
      <c r="AA35" s="2"/>
      <c r="AE35" s="1"/>
      <c r="BE35" s="18"/>
      <c r="BF35" s="80"/>
    </row>
    <row r="36" ht="24.95" hidden="1" customHeight="1" spans="1:58">
      <c r="A36" s="23"/>
      <c r="B36" s="24" t="s">
        <v>95</v>
      </c>
      <c r="C36" s="19"/>
      <c r="D36" s="18"/>
      <c r="E36" s="19"/>
      <c r="F36" s="58" t="str">
        <f>IF(F29=CELL_GRAN_RND*INT((F30*4/3)/CELL_GRAN_RND),"4:3","")&amp;IF(F29=CELL_GRAN_RND*INT((F30*16/9)/CELL_GRAN_RND),"16:9","")&amp;IF(F29=CELL_GRAN_RND*INT((F30*16/10)/CELL_GRAN_RND),"16:10","")&amp;IF(F29=CELL_GRAN_RND*INT((F30*5/4)/CELL_GRAN_RND),"5:4","")&amp;IF(F29=CELL_GRAN_RND*INT((F30*15/9)/CELL_GRAN_RND),"15:9","")</f>
        <v/>
      </c>
      <c r="G36" s="59"/>
      <c r="H36" s="55" t="str">
        <f>IF(ASPECT_RATIO="","WARNING! - Not Standard Aspect Ratio","")</f>
        <v>WARNING! - Not Standard Aspect Ratio</v>
      </c>
      <c r="I36" s="132"/>
      <c r="J36" s="124"/>
      <c r="K36" s="132"/>
      <c r="L36" s="18"/>
      <c r="M36" s="125"/>
      <c r="O36" s="133"/>
      <c r="P36" s="28"/>
      <c r="Q36" s="161"/>
      <c r="R36" s="1"/>
      <c r="S36" s="110"/>
      <c r="T36" s="164" t="str">
        <f>"Rounded down to "&amp;CLOCK_STEP&amp;"MHz ="</f>
        <v>Rounded down to 0.001MHz =</v>
      </c>
      <c r="U36" s="161">
        <f>CLOCK_STEP*ROUNDDOWN((TOTAL_PIXELS/H_PERIOD_EST)/CLOCK_STEP,0)</f>
        <v>587.61</v>
      </c>
      <c r="V36" s="80"/>
      <c r="W36" s="110">
        <f>W33+1</f>
        <v>15</v>
      </c>
      <c r="X36" s="164" t="s">
        <v>96</v>
      </c>
      <c r="Y36" s="161"/>
      <c r="AA36" s="2"/>
      <c r="AE36" s="1"/>
      <c r="BE36" s="18"/>
      <c r="BF36" s="80"/>
    </row>
    <row r="37" ht="24.95" hidden="1" customHeight="1" spans="1:58">
      <c r="A37" s="23"/>
      <c r="B37" s="24" t="s">
        <v>97</v>
      </c>
      <c r="C37" s="19"/>
      <c r="D37" s="18"/>
      <c r="E37" s="19"/>
      <c r="F37" s="58" t="str">
        <f>IF(RED_BLANK_RQD?="y","POSITIVE","NEGATIVE")</f>
        <v>POSITIVE</v>
      </c>
      <c r="G37" s="59"/>
      <c r="H37" s="55"/>
      <c r="I37" s="132"/>
      <c r="J37" s="124"/>
      <c r="K37" s="132"/>
      <c r="L37" s="18"/>
      <c r="M37" s="125"/>
      <c r="O37" s="133" t="s">
        <v>98</v>
      </c>
      <c r="P37" s="28"/>
      <c r="Q37" s="161"/>
      <c r="R37" s="1"/>
      <c r="S37" s="110"/>
      <c r="T37" s="164" t="s">
        <v>83</v>
      </c>
      <c r="U37" s="168">
        <f>TOTAL_PIXELS/H_PERIOD_EST</f>
        <v>587.610037021802</v>
      </c>
      <c r="V37" s="80"/>
      <c r="W37" s="110"/>
      <c r="X37" s="80" t="s">
        <v>99</v>
      </c>
      <c r="Y37" s="156">
        <f>1000*ACT_H_FREQ/TOTAL_V_LINES</f>
        <v>59.9999795783334</v>
      </c>
      <c r="AA37" s="2"/>
      <c r="AE37" s="1"/>
      <c r="BE37" s="18"/>
      <c r="BF37" s="80"/>
    </row>
    <row r="38" ht="24.95" hidden="1" customHeight="1" spans="1:58">
      <c r="A38" s="23"/>
      <c r="B38" s="24" t="s">
        <v>100</v>
      </c>
      <c r="C38" s="19"/>
      <c r="D38" s="18"/>
      <c r="E38" s="19"/>
      <c r="F38" s="58" t="str">
        <f>IF(RED_BLANK_RQD?="y","NEGATIVE","POSITIVE")</f>
        <v>NEGATIVE</v>
      </c>
      <c r="G38" s="59"/>
      <c r="H38" s="55"/>
      <c r="I38" s="132"/>
      <c r="J38" s="124"/>
      <c r="K38" s="132"/>
      <c r="L38" s="18"/>
      <c r="M38" s="125"/>
      <c r="O38" s="133"/>
      <c r="P38" s="28" t="s">
        <v>101</v>
      </c>
      <c r="Q38" s="168">
        <f>IF(RED_BLANK_RQD?="Y",Y13,U13)</f>
        <v>2.11024305555556</v>
      </c>
      <c r="R38" s="1"/>
      <c r="S38" s="110"/>
      <c r="T38" s="18"/>
      <c r="U38" s="161"/>
      <c r="V38" s="80"/>
      <c r="W38" s="110"/>
      <c r="X38" s="18"/>
      <c r="Y38" s="161"/>
      <c r="AE38" s="1"/>
      <c r="BE38" s="18"/>
      <c r="BF38" s="80"/>
    </row>
    <row r="39" ht="24.95" hidden="1" customHeight="1" spans="1:58">
      <c r="A39" s="23"/>
      <c r="B39" s="60"/>
      <c r="C39" s="61"/>
      <c r="D39" s="62"/>
      <c r="E39" s="61"/>
      <c r="F39" s="63"/>
      <c r="G39" s="64"/>
      <c r="H39" s="65"/>
      <c r="I39" s="62"/>
      <c r="J39" s="65"/>
      <c r="K39" s="62"/>
      <c r="L39" s="62"/>
      <c r="M39" s="134"/>
      <c r="O39" s="133"/>
      <c r="P39" s="28"/>
      <c r="Q39" s="161"/>
      <c r="R39" s="1"/>
      <c r="S39" s="110">
        <f>S35+1</f>
        <v>16</v>
      </c>
      <c r="T39" s="18" t="s">
        <v>89</v>
      </c>
      <c r="U39" s="156"/>
      <c r="V39" s="80"/>
      <c r="W39" s="110">
        <f>W36+1</f>
        <v>16</v>
      </c>
      <c r="X39" s="80" t="s">
        <v>102</v>
      </c>
      <c r="Y39" s="156"/>
      <c r="AE39" s="1"/>
      <c r="BE39" s="18"/>
      <c r="BF39" s="80"/>
    </row>
    <row r="40" ht="24.95" hidden="1" customHeight="1" spans="1:58">
      <c r="A40" s="66"/>
      <c r="B40" s="67"/>
      <c r="C40" s="19"/>
      <c r="D40" s="18"/>
      <c r="E40" s="19"/>
      <c r="F40" s="25"/>
      <c r="G40" s="28"/>
      <c r="H40" s="56"/>
      <c r="I40" s="18"/>
      <c r="J40" s="124"/>
      <c r="K40" s="18"/>
      <c r="L40" s="18"/>
      <c r="M40" s="125"/>
      <c r="O40" s="133" t="s">
        <v>103</v>
      </c>
      <c r="P40" s="28"/>
      <c r="Q40" s="161"/>
      <c r="R40" s="1"/>
      <c r="S40" s="110"/>
      <c r="T40" s="80" t="s">
        <v>92</v>
      </c>
      <c r="U40" s="156">
        <f>1000*ACT_PIXEL_FREQ/TOTAL_PIXELS</f>
        <v>473.879838709677</v>
      </c>
      <c r="W40" s="110"/>
      <c r="X40" s="80" t="s">
        <v>104</v>
      </c>
      <c r="Y40" s="156">
        <f>(IF(INT_RQD?="y",ACT_FIELD_RATE/2,ACT_FIELD_RATE))</f>
        <v>59.9999795783334</v>
      </c>
      <c r="AE40" s="1"/>
      <c r="BE40" s="18"/>
      <c r="BF40" s="80"/>
    </row>
    <row r="41" ht="24.95" hidden="1" customHeight="1" spans="1:58">
      <c r="A41" s="23"/>
      <c r="B41" s="24" t="s">
        <v>105</v>
      </c>
      <c r="C41" s="19"/>
      <c r="D41" s="18"/>
      <c r="E41" s="19"/>
      <c r="F41" s="25">
        <f>TOTAL_PIXELS/ACT_PIXEL_FREQ</f>
        <v>2.1102395972846</v>
      </c>
      <c r="G41" s="68" t="s">
        <v>106</v>
      </c>
      <c r="H41" s="69">
        <f>TOTAL_PIXELS/CELL_GRAN_RND</f>
        <v>1240</v>
      </c>
      <c r="I41" s="18" t="s">
        <v>107</v>
      </c>
      <c r="J41" s="57">
        <f>TOTAL_PIXELS</f>
        <v>1240</v>
      </c>
      <c r="K41" s="80" t="s">
        <v>73</v>
      </c>
      <c r="L41" s="135"/>
      <c r="M41" s="125"/>
      <c r="O41" s="133"/>
      <c r="P41" s="28" t="s">
        <v>108</v>
      </c>
      <c r="Q41" s="168">
        <f>IF(RED_BLANK_RQD?="y",Y34,U40)</f>
        <v>473.879838709677</v>
      </c>
      <c r="R41" s="1"/>
      <c r="S41" s="110"/>
      <c r="T41" s="18"/>
      <c r="U41" s="161"/>
      <c r="W41" s="104"/>
      <c r="X41" s="158"/>
      <c r="Y41" s="170"/>
      <c r="AE41" s="1"/>
      <c r="BE41" s="18"/>
      <c r="BF41" s="80"/>
    </row>
    <row r="42" ht="24.95" hidden="1" customHeight="1" spans="1:58">
      <c r="A42" s="23"/>
      <c r="B42" s="24" t="s">
        <v>109</v>
      </c>
      <c r="C42" s="19"/>
      <c r="D42" s="18"/>
      <c r="E42" s="19"/>
      <c r="F42" s="25">
        <f>H_PIXELS_RND/ACT_PIXEL_FREQ</f>
        <v>1.83795061698981</v>
      </c>
      <c r="G42" s="68" t="s">
        <v>106</v>
      </c>
      <c r="H42" s="69">
        <f>H_PIXELS_RND/CELL_GRAN_RND</f>
        <v>1080</v>
      </c>
      <c r="I42" s="18" t="s">
        <v>107</v>
      </c>
      <c r="J42" s="57">
        <f>H_PIXELS_RND</f>
        <v>1080</v>
      </c>
      <c r="K42" s="80" t="s">
        <v>73</v>
      </c>
      <c r="L42" s="135"/>
      <c r="M42" s="125"/>
      <c r="O42" s="133" t="s">
        <v>110</v>
      </c>
      <c r="P42" s="28"/>
      <c r="Q42" s="168"/>
      <c r="R42" s="1"/>
      <c r="S42" s="110">
        <f>S39+1</f>
        <v>17</v>
      </c>
      <c r="T42" s="164" t="s">
        <v>96</v>
      </c>
      <c r="U42" s="161"/>
      <c r="AE42" s="1"/>
      <c r="BE42" s="18"/>
      <c r="BF42" s="80"/>
    </row>
    <row r="43" ht="24.95" hidden="1" customHeight="1" spans="1:58">
      <c r="A43" s="70"/>
      <c r="B43" s="71"/>
      <c r="C43" s="61"/>
      <c r="D43" s="62"/>
      <c r="E43" s="61"/>
      <c r="F43" s="63"/>
      <c r="G43" s="72"/>
      <c r="H43" s="73"/>
      <c r="I43" s="62"/>
      <c r="J43" s="81"/>
      <c r="K43" s="136"/>
      <c r="L43" s="137"/>
      <c r="M43" s="134"/>
      <c r="O43" s="133"/>
      <c r="P43" s="28" t="s">
        <v>111</v>
      </c>
      <c r="Q43" s="168">
        <f>IF(RED_BLANK_RQD?="y",Y37,U43)</f>
        <v>59.9999795783334</v>
      </c>
      <c r="R43" s="1"/>
      <c r="S43" s="110"/>
      <c r="T43" s="80" t="s">
        <v>99</v>
      </c>
      <c r="U43" s="156">
        <f>1000*ACT_H_FREQ/TOTAL_V_LINES</f>
        <v>59.9999795783334</v>
      </c>
      <c r="AE43" s="1"/>
      <c r="BE43" s="18"/>
      <c r="BF43" s="80"/>
    </row>
    <row r="44" ht="24.95" hidden="1" customHeight="1" spans="1:58">
      <c r="A44" s="66"/>
      <c r="B44" s="74"/>
      <c r="C44" s="75"/>
      <c r="D44" s="76"/>
      <c r="E44" s="75"/>
      <c r="F44" s="77"/>
      <c r="G44" s="78"/>
      <c r="H44" s="79"/>
      <c r="I44" s="76"/>
      <c r="J44" s="138"/>
      <c r="K44" s="139"/>
      <c r="L44" s="140"/>
      <c r="M44" s="141"/>
      <c r="O44" s="133"/>
      <c r="P44" s="28" t="s">
        <v>112</v>
      </c>
      <c r="Q44" s="168">
        <f>IF(RED_BLANK_RQD?="y",Y40,U46)</f>
        <v>59.9999795783334</v>
      </c>
      <c r="R44" s="1"/>
      <c r="S44" s="110"/>
      <c r="T44" s="18"/>
      <c r="U44" s="161"/>
      <c r="AD44" s="80"/>
      <c r="AE44" s="1"/>
      <c r="BE44" s="18"/>
      <c r="BF44" s="80"/>
    </row>
    <row r="45" ht="24.95" hidden="1" customHeight="1" spans="1:58">
      <c r="A45" s="23"/>
      <c r="B45" s="24" t="s">
        <v>113</v>
      </c>
      <c r="C45" s="19"/>
      <c r="D45" s="18"/>
      <c r="E45" s="19"/>
      <c r="F45" s="25">
        <f>H_BLANK/ACT_PIXEL_FREQ</f>
        <v>0.272288980294787</v>
      </c>
      <c r="G45" s="68" t="s">
        <v>106</v>
      </c>
      <c r="H45" s="69">
        <f>H_BLANK/CELL_GRAN_RND</f>
        <v>160</v>
      </c>
      <c r="I45" s="18" t="s">
        <v>107</v>
      </c>
      <c r="J45" s="57">
        <f>H_BLANK</f>
        <v>160</v>
      </c>
      <c r="K45" s="80" t="s">
        <v>73</v>
      </c>
      <c r="L45" s="135"/>
      <c r="M45" s="125"/>
      <c r="O45" s="133" t="s">
        <v>114</v>
      </c>
      <c r="P45" s="28"/>
      <c r="Q45" s="168"/>
      <c r="R45" s="1"/>
      <c r="S45" s="110">
        <f>S42+1</f>
        <v>18</v>
      </c>
      <c r="T45" s="80" t="s">
        <v>102</v>
      </c>
      <c r="U45" s="156"/>
      <c r="AD45" s="80"/>
      <c r="AE45" s="1"/>
      <c r="BE45" s="18"/>
      <c r="BF45" s="80"/>
    </row>
    <row r="46" ht="24.95" hidden="1" customHeight="1" spans="1:58">
      <c r="A46" s="23"/>
      <c r="B46" s="24" t="s">
        <v>115</v>
      </c>
      <c r="C46" s="19"/>
      <c r="D46" s="18"/>
      <c r="E46" s="19"/>
      <c r="F46" s="25">
        <f>(H_BLANK+LEFT_MARGIN+RIGHT_MARGIN)/ACT_PIXEL_FREQ</f>
        <v>0.272288980294787</v>
      </c>
      <c r="G46" s="68" t="s">
        <v>106</v>
      </c>
      <c r="H46" s="69">
        <f>(H_BLANK+LEFT_MARGIN+RIGHT_MARGIN)/CELL_GRAN_RND</f>
        <v>160</v>
      </c>
      <c r="I46" s="18" t="s">
        <v>107</v>
      </c>
      <c r="J46" s="57">
        <f>H_BLANK+LEFT_MARGIN+RIGHT_MARGIN</f>
        <v>160</v>
      </c>
      <c r="K46" s="80" t="s">
        <v>73</v>
      </c>
      <c r="L46" s="135"/>
      <c r="M46" s="125"/>
      <c r="O46" s="133"/>
      <c r="P46" s="28" t="s">
        <v>116</v>
      </c>
      <c r="Q46" s="168">
        <f>IF(RED_BLANK_RQD?="y",Y30,U36)</f>
        <v>587.611</v>
      </c>
      <c r="R46" s="1"/>
      <c r="S46" s="110"/>
      <c r="T46" s="80" t="s">
        <v>104</v>
      </c>
      <c r="U46" s="156">
        <f>(IF(INT_RQD?="y",ACT_FIELD_RATE/2,ACT_FIELD_RATE))</f>
        <v>59.9999795783334</v>
      </c>
      <c r="X46" s="26"/>
      <c r="AE46" s="1"/>
      <c r="BE46" s="18"/>
      <c r="BF46" s="80"/>
    </row>
    <row r="47" ht="24.75" hidden="1" customHeight="1" spans="1:58">
      <c r="A47" s="23"/>
      <c r="B47" s="24" t="s">
        <v>117</v>
      </c>
      <c r="C47" s="19"/>
      <c r="D47" s="18"/>
      <c r="E47" s="19"/>
      <c r="F47" s="25">
        <f>IDEAL_DUTY_CYCLE</f>
        <v>29.3669270833333</v>
      </c>
      <c r="G47" s="68" t="s">
        <v>118</v>
      </c>
      <c r="H47" s="57"/>
      <c r="I47" s="80"/>
      <c r="J47" s="124"/>
      <c r="K47" s="18"/>
      <c r="L47" s="18"/>
      <c r="M47" s="125"/>
      <c r="O47" s="110"/>
      <c r="P47" s="28"/>
      <c r="Q47" s="169"/>
      <c r="R47" s="1"/>
      <c r="S47" s="104"/>
      <c r="T47" s="158"/>
      <c r="U47" s="170"/>
      <c r="AE47" s="1"/>
      <c r="AP47" s="18"/>
      <c r="BE47" s="18"/>
      <c r="BF47" s="80"/>
    </row>
    <row r="48" ht="24.95" hidden="1" customHeight="1" spans="1:58">
      <c r="A48" s="23"/>
      <c r="B48" s="24"/>
      <c r="C48" s="26" t="s">
        <v>119</v>
      </c>
      <c r="D48" s="80"/>
      <c r="E48" s="26"/>
      <c r="F48" s="25"/>
      <c r="G48" s="68"/>
      <c r="H48" s="57"/>
      <c r="I48" s="80"/>
      <c r="J48" s="124"/>
      <c r="K48" s="80"/>
      <c r="L48" s="18"/>
      <c r="M48" s="125"/>
      <c r="O48" s="133" t="s">
        <v>120</v>
      </c>
      <c r="P48" s="28"/>
      <c r="Q48" s="169"/>
      <c r="R48" s="1"/>
      <c r="S48" s="3"/>
      <c r="AE48" s="1"/>
      <c r="AP48" s="18"/>
      <c r="BE48" s="18"/>
      <c r="BF48" s="80"/>
    </row>
    <row r="49" ht="24.95" hidden="1" customHeight="1" spans="1:58">
      <c r="A49" s="23"/>
      <c r="B49" s="24" t="s">
        <v>121</v>
      </c>
      <c r="C49" s="19"/>
      <c r="D49" s="18"/>
      <c r="E49" s="19"/>
      <c r="F49" s="25">
        <f>H_BLANK/TOTAL_PIXELS*100</f>
        <v>12.9032258064516</v>
      </c>
      <c r="G49" s="68" t="s">
        <v>118</v>
      </c>
      <c r="H49" s="57"/>
      <c r="I49" s="80"/>
      <c r="J49" s="124"/>
      <c r="K49" s="18"/>
      <c r="L49" s="18"/>
      <c r="M49" s="125"/>
      <c r="O49" s="133"/>
      <c r="P49" s="28" t="s">
        <v>122</v>
      </c>
      <c r="Q49" s="169">
        <f>IF(RED_BLANK_RQD?="Y",Y27,U33)</f>
        <v>1240</v>
      </c>
      <c r="R49" s="1"/>
      <c r="S49" s="3"/>
      <c r="V49" s="80"/>
      <c r="AE49" s="1"/>
      <c r="AP49" s="18"/>
      <c r="BE49" s="18"/>
      <c r="BF49" s="80"/>
    </row>
    <row r="50" ht="24.95" hidden="1" customHeight="1" spans="1:58">
      <c r="A50" s="23"/>
      <c r="B50" s="24" t="s">
        <v>123</v>
      </c>
      <c r="C50" s="19"/>
      <c r="D50" s="18"/>
      <c r="E50" s="19"/>
      <c r="F50" s="25">
        <f>(H_BLANK+LEFT_MARGIN+RIGHT_MARGIN)/TOTAL_PIXELS*100</f>
        <v>12.9032258064516</v>
      </c>
      <c r="G50" s="68" t="s">
        <v>118</v>
      </c>
      <c r="H50" s="57"/>
      <c r="I50" s="80"/>
      <c r="J50" s="124"/>
      <c r="K50" s="18"/>
      <c r="L50" s="18"/>
      <c r="M50" s="125"/>
      <c r="O50" s="133" t="s">
        <v>124</v>
      </c>
      <c r="P50" s="28"/>
      <c r="Q50" s="169"/>
      <c r="R50" s="1"/>
      <c r="S50" s="3"/>
      <c r="V50" s="80"/>
      <c r="AE50" s="1"/>
      <c r="AP50" s="18"/>
      <c r="BE50" s="18"/>
      <c r="BF50" s="80"/>
    </row>
    <row r="51" ht="24.95" hidden="1" customHeight="1" spans="1:58">
      <c r="A51" s="23"/>
      <c r="B51" s="24" t="s">
        <v>125</v>
      </c>
      <c r="C51" s="19"/>
      <c r="D51" s="18"/>
      <c r="E51" s="19"/>
      <c r="F51" s="25">
        <f>LEFT_MARGIN/ACT_PIXEL_FREQ</f>
        <v>0</v>
      </c>
      <c r="G51" s="68" t="s">
        <v>106</v>
      </c>
      <c r="H51" s="69">
        <f>LEFT_MARGIN/CELL_GRAN_RND</f>
        <v>0</v>
      </c>
      <c r="I51" s="18" t="s">
        <v>107</v>
      </c>
      <c r="J51" s="57">
        <f>LEFT_MARGIN</f>
        <v>0</v>
      </c>
      <c r="K51" s="80" t="s">
        <v>73</v>
      </c>
      <c r="L51" s="80"/>
      <c r="M51" s="125"/>
      <c r="O51" s="133"/>
      <c r="P51" s="28" t="s">
        <v>126</v>
      </c>
      <c r="Q51" s="169">
        <f>IF(RED_BLANK_RQD?="Y",Y10,U30)</f>
        <v>160</v>
      </c>
      <c r="R51" s="1"/>
      <c r="S51" s="3"/>
      <c r="AE51" s="1"/>
      <c r="AP51" s="18"/>
      <c r="BE51" s="18"/>
      <c r="BF51" s="80"/>
    </row>
    <row r="52" ht="24.95" hidden="1" customHeight="1" spans="1:42">
      <c r="A52" s="23"/>
      <c r="B52" s="24" t="s">
        <v>127</v>
      </c>
      <c r="C52" s="19"/>
      <c r="D52" s="18"/>
      <c r="E52" s="19"/>
      <c r="F52" s="25">
        <f>H_FRONT_PORCH/ACT_PIXEL_FREQ</f>
        <v>0.0816866940884361</v>
      </c>
      <c r="G52" s="68" t="s">
        <v>106</v>
      </c>
      <c r="H52" s="69">
        <f>H_FRONT_PORCH/CELL_GRAN_RND</f>
        <v>48</v>
      </c>
      <c r="I52" s="18" t="s">
        <v>107</v>
      </c>
      <c r="J52" s="57">
        <f>H_FRONT_PORCH</f>
        <v>48</v>
      </c>
      <c r="K52" s="80" t="s">
        <v>73</v>
      </c>
      <c r="L52" s="80"/>
      <c r="M52" s="125"/>
      <c r="O52" s="133" t="s">
        <v>128</v>
      </c>
      <c r="P52" s="28"/>
      <c r="Q52" s="169"/>
      <c r="R52" s="1"/>
      <c r="S52" s="3"/>
      <c r="V52" s="80"/>
      <c r="AE52" s="1"/>
      <c r="AN52" s="18"/>
      <c r="AO52" s="18"/>
      <c r="AP52" s="18"/>
    </row>
    <row r="53" ht="24.95" hidden="1" customHeight="1" spans="1:42">
      <c r="A53" s="23"/>
      <c r="B53" s="24" t="s">
        <v>129</v>
      </c>
      <c r="C53" s="19"/>
      <c r="D53" s="18"/>
      <c r="E53" s="19"/>
      <c r="F53" s="25">
        <f>H_SYNC_RND/ACT_PIXEL_FREQ</f>
        <v>0.0544577960589574</v>
      </c>
      <c r="G53" s="68" t="s">
        <v>106</v>
      </c>
      <c r="H53" s="69">
        <f>H_SYNC_RND/CELL_GRAN_RND</f>
        <v>32</v>
      </c>
      <c r="I53" s="18" t="s">
        <v>107</v>
      </c>
      <c r="J53" s="57">
        <f>H_SYNC_RND</f>
        <v>32</v>
      </c>
      <c r="K53" s="80" t="s">
        <v>73</v>
      </c>
      <c r="L53" s="80"/>
      <c r="M53" s="125"/>
      <c r="O53" s="133"/>
      <c r="P53" s="28" t="s">
        <v>130</v>
      </c>
      <c r="Q53" s="169">
        <f>H_BLANK-H_BACK_PORCH-H_SYNC_RND</f>
        <v>48</v>
      </c>
      <c r="R53" s="1"/>
      <c r="S53" s="3"/>
      <c r="AE53" s="1"/>
      <c r="AN53" s="18"/>
      <c r="AO53" s="18"/>
      <c r="AP53" s="18"/>
    </row>
    <row r="54" ht="24.95" hidden="1" customHeight="1" spans="1:42">
      <c r="A54" s="23"/>
      <c r="B54" s="24" t="s">
        <v>131</v>
      </c>
      <c r="C54" s="19"/>
      <c r="D54" s="18"/>
      <c r="E54" s="19"/>
      <c r="F54" s="25">
        <f>H_BACK_PORCH/ACT_PIXEL_FREQ</f>
        <v>0.136144490147393</v>
      </c>
      <c r="G54" s="68" t="s">
        <v>106</v>
      </c>
      <c r="H54" s="69">
        <f>H_BACK_PORCH/CELL_GRAN_RND</f>
        <v>80</v>
      </c>
      <c r="I54" s="18" t="s">
        <v>107</v>
      </c>
      <c r="J54" s="57">
        <f>H_BACK_PORCH</f>
        <v>80</v>
      </c>
      <c r="K54" s="80" t="s">
        <v>73</v>
      </c>
      <c r="L54" s="80"/>
      <c r="M54" s="125"/>
      <c r="O54" s="133" t="s">
        <v>132</v>
      </c>
      <c r="P54" s="28"/>
      <c r="Q54" s="169"/>
      <c r="R54" s="1"/>
      <c r="S54" s="3"/>
      <c r="V54" s="80"/>
      <c r="AE54" s="1"/>
      <c r="AN54" s="18"/>
      <c r="AO54" s="18"/>
      <c r="AP54" s="18"/>
    </row>
    <row r="55" ht="24.95" hidden="1" customHeight="1" spans="1:42">
      <c r="A55" s="23"/>
      <c r="B55" s="24" t="s">
        <v>133</v>
      </c>
      <c r="C55" s="19"/>
      <c r="D55" s="18"/>
      <c r="E55" s="19"/>
      <c r="F55" s="25">
        <f>RIGHT_MARGIN/ACT_PIXEL_FREQ</f>
        <v>0</v>
      </c>
      <c r="G55" s="68" t="s">
        <v>106</v>
      </c>
      <c r="H55" s="69">
        <f>RIGHT_MARGIN/CELL_GRAN_RND</f>
        <v>0</v>
      </c>
      <c r="I55" s="18" t="s">
        <v>107</v>
      </c>
      <c r="J55" s="57">
        <f>RIGHT_MARGIN</f>
        <v>0</v>
      </c>
      <c r="K55" s="80" t="s">
        <v>73</v>
      </c>
      <c r="L55" s="80"/>
      <c r="M55" s="125"/>
      <c r="O55" s="133"/>
      <c r="P55" s="28" t="s">
        <v>134</v>
      </c>
      <c r="Q55" s="169">
        <f>IF(RED_BLANK_RQD?="Y",Y9,(ROUNDDOWN((H_SYNC_PER/100*TOTAL_PIXELS/CELL_GRAN_RND),0))*CELL_GRAN_RND)</f>
        <v>32</v>
      </c>
      <c r="R55" s="1"/>
      <c r="S55" s="3"/>
      <c r="V55" s="80"/>
      <c r="AE55" s="1"/>
      <c r="AN55" s="18"/>
      <c r="AO55" s="18"/>
      <c r="AP55" s="18"/>
    </row>
    <row r="56" ht="24.95" hidden="1" customHeight="1" spans="1:42">
      <c r="A56" s="70"/>
      <c r="B56" s="71"/>
      <c r="C56" s="61"/>
      <c r="D56" s="62"/>
      <c r="E56" s="61"/>
      <c r="F56" s="63"/>
      <c r="G56" s="72"/>
      <c r="H56" s="81"/>
      <c r="I56" s="136"/>
      <c r="J56" s="142"/>
      <c r="K56" s="62"/>
      <c r="L56" s="62"/>
      <c r="M56" s="134"/>
      <c r="O56" s="133" t="s">
        <v>135</v>
      </c>
      <c r="P56" s="28"/>
      <c r="Q56" s="169"/>
      <c r="R56" s="1"/>
      <c r="S56" s="3"/>
      <c r="V56" s="80"/>
      <c r="AE56" s="1"/>
      <c r="AN56" s="18"/>
      <c r="AO56" s="18"/>
      <c r="AP56" s="18"/>
    </row>
    <row r="57" ht="24.95" hidden="1" customHeight="1" spans="1:42">
      <c r="A57" s="23"/>
      <c r="B57" s="24"/>
      <c r="C57" s="19"/>
      <c r="D57" s="18"/>
      <c r="E57" s="19"/>
      <c r="F57" s="25" t="str">
        <f>(IF(INT_RQD?="y","PER FRAME",""))</f>
        <v/>
      </c>
      <c r="G57" s="82"/>
      <c r="H57" s="83" t="str">
        <f>(IF(INT_RQD?="y","PER FIELD",""))</f>
        <v/>
      </c>
      <c r="I57" s="82"/>
      <c r="J57" s="143" t="str">
        <f>(IF(INT_RQD?="y","PER FRAME",""))</f>
        <v/>
      </c>
      <c r="K57" s="102"/>
      <c r="L57" s="144" t="str">
        <f>(IF(INT_RQD?="y","PER FIELD",""))</f>
        <v/>
      </c>
      <c r="M57" s="145"/>
      <c r="O57" s="133"/>
      <c r="P57" s="28" t="s">
        <v>136</v>
      </c>
      <c r="Q57" s="169">
        <f>H_BLANK/2</f>
        <v>80</v>
      </c>
      <c r="R57" s="1"/>
      <c r="S57" s="3"/>
      <c r="T57" s="18"/>
      <c r="U57" s="18"/>
      <c r="V57" s="80"/>
      <c r="AE57" s="1"/>
      <c r="AN57" s="18"/>
      <c r="AO57" s="18"/>
      <c r="AP57" s="18"/>
    </row>
    <row r="58" ht="24.95" hidden="1" customHeight="1" spans="1:42">
      <c r="A58" s="23"/>
      <c r="B58" s="24" t="s">
        <v>137</v>
      </c>
      <c r="C58" s="19"/>
      <c r="D58" s="18"/>
      <c r="E58" s="19"/>
      <c r="F58" s="25">
        <f>IF(INT_RQD?="y",2,1)*TOTAL_V_LINES/ACT_H_FREQ</f>
        <v>16.6666723393538</v>
      </c>
      <c r="G58" s="68" t="s">
        <v>138</v>
      </c>
      <c r="H58" s="84" t="str">
        <f>IF(INT_RQD?="y",TOTAL_V_LINES/ACT_H_FREQ,"")</f>
        <v/>
      </c>
      <c r="I58" s="68" t="str">
        <f>IF(INT_RQD?="y","ms","")</f>
        <v/>
      </c>
      <c r="J58" s="146">
        <f>IF(INT_RQD?="y",2,1)*TOTAL_V_LINES</f>
        <v>7898</v>
      </c>
      <c r="K58" s="147" t="s">
        <v>78</v>
      </c>
      <c r="L58" s="146" t="str">
        <f>IF(INT_RQD?="y",TOTAL_V_LINES,"")</f>
        <v/>
      </c>
      <c r="M58" s="106" t="str">
        <f>(IF(INT_RQD?="y","LINES",""))</f>
        <v/>
      </c>
      <c r="O58" s="110"/>
      <c r="P58" s="28"/>
      <c r="Q58" s="169"/>
      <c r="R58" s="1"/>
      <c r="S58" s="3"/>
      <c r="T58" s="18"/>
      <c r="U58" s="18"/>
      <c r="AE58" s="1"/>
      <c r="AN58" s="18"/>
      <c r="AO58" s="18"/>
      <c r="AP58" s="18"/>
    </row>
    <row r="59" ht="24.95" hidden="1" customHeight="1" spans="1:42">
      <c r="A59" s="23"/>
      <c r="B59" s="24" t="s">
        <v>139</v>
      </c>
      <c r="C59" s="19"/>
      <c r="D59" s="18"/>
      <c r="E59" s="19"/>
      <c r="F59" s="25">
        <f>IF(INT_RQD?="y",2,1)*V_LINES_RND/ACT_H_FREQ</f>
        <v>16.2066401071457</v>
      </c>
      <c r="G59" s="68" t="s">
        <v>138</v>
      </c>
      <c r="H59" s="84" t="str">
        <f>IF(INT_RQD?="y",V_LINES_RND/ACT_H_FREQ,"")</f>
        <v/>
      </c>
      <c r="I59" s="68" t="str">
        <f>IF(INT_RQD?="y","ms","")</f>
        <v/>
      </c>
      <c r="J59" s="146">
        <f>IF(INT_RQD?="y",2*V_LINES_RND,V_LINES_RND)</f>
        <v>7680</v>
      </c>
      <c r="K59" s="147" t="s">
        <v>78</v>
      </c>
      <c r="L59" s="146" t="str">
        <f>IF(INT_RQD?="y",V_LINES_RND,"")</f>
        <v/>
      </c>
      <c r="M59" s="106" t="str">
        <f>(IF(INT_RQD?="y","LINES",""))</f>
        <v/>
      </c>
      <c r="O59" s="133" t="s">
        <v>140</v>
      </c>
      <c r="P59" s="28"/>
      <c r="Q59" s="169"/>
      <c r="R59" s="1"/>
      <c r="S59" s="3"/>
      <c r="T59" s="18"/>
      <c r="U59" s="18"/>
      <c r="AE59" s="1"/>
      <c r="AN59" s="18"/>
      <c r="AO59" s="18"/>
      <c r="AP59" s="18"/>
    </row>
    <row r="60" ht="24.95" hidden="1" customHeight="1" spans="1:42">
      <c r="A60" s="70"/>
      <c r="B60" s="71"/>
      <c r="C60" s="61"/>
      <c r="D60" s="62"/>
      <c r="E60" s="61"/>
      <c r="F60" s="63"/>
      <c r="G60" s="72"/>
      <c r="H60" s="85"/>
      <c r="I60" s="72"/>
      <c r="J60" s="148"/>
      <c r="K60" s="149"/>
      <c r="L60" s="148"/>
      <c r="M60" s="150"/>
      <c r="O60" s="133"/>
      <c r="P60" s="28" t="s">
        <v>141</v>
      </c>
      <c r="Q60" s="171">
        <f>IF(RED_BLANK_RQD?="Y",Y24,U24)</f>
        <v>7898</v>
      </c>
      <c r="R60" s="1"/>
      <c r="S60" s="3"/>
      <c r="T60" s="18"/>
      <c r="U60" s="18"/>
      <c r="AE60" s="1"/>
      <c r="AN60" s="18"/>
      <c r="AO60" s="18"/>
      <c r="AP60" s="18"/>
    </row>
    <row r="61" ht="24.95" hidden="1" customHeight="1" spans="1:42">
      <c r="A61" s="66"/>
      <c r="B61" s="74"/>
      <c r="C61" s="75"/>
      <c r="D61" s="76"/>
      <c r="E61" s="75"/>
      <c r="F61" s="77" t="str">
        <f>(IF(INT_RQD?="y","ODD FIELD",""))</f>
        <v/>
      </c>
      <c r="G61" s="86"/>
      <c r="H61" s="87" t="str">
        <f>(IF(INT_RQD?="y","EVEN FIELD",""))</f>
        <v/>
      </c>
      <c r="I61" s="86"/>
      <c r="J61" s="151" t="str">
        <f>(IF(INT_RQD?="y","ODD FIELD",""))</f>
        <v/>
      </c>
      <c r="K61" s="152"/>
      <c r="L61" s="151" t="str">
        <f>(IF(INT_RQD?="y","EVEN FIELD",""))</f>
        <v/>
      </c>
      <c r="M61" s="153"/>
      <c r="O61" s="133" t="s">
        <v>142</v>
      </c>
      <c r="P61" s="28"/>
      <c r="Q61" s="171"/>
      <c r="R61" s="1"/>
      <c r="S61" s="3"/>
      <c r="T61" s="18"/>
      <c r="U61" s="18"/>
      <c r="V61" s="80"/>
      <c r="AE61" s="1"/>
      <c r="AN61" s="18"/>
      <c r="AO61" s="18"/>
      <c r="AP61" s="18"/>
    </row>
    <row r="62" ht="24.95" hidden="1" customHeight="1" spans="1:42">
      <c r="A62" s="23"/>
      <c r="B62" s="24" t="s">
        <v>143</v>
      </c>
      <c r="C62" s="19"/>
      <c r="D62" s="18"/>
      <c r="E62" s="19"/>
      <c r="F62" s="25">
        <f>V_BLANK/ACT_H_FREQ</f>
        <v>0.460032232208042</v>
      </c>
      <c r="G62" s="68" t="s">
        <v>138</v>
      </c>
      <c r="H62" s="88" t="str">
        <f>IF(INT_RQD?="y",(V_BLANK+(2*INTERLACE))/ACT_H_FREQ,"")</f>
        <v/>
      </c>
      <c r="I62" s="68" t="str">
        <f>(IF(INT_RQD?="y","ms",""))</f>
        <v/>
      </c>
      <c r="J62" s="146">
        <f>V_BLANK</f>
        <v>218</v>
      </c>
      <c r="K62" s="147" t="s">
        <v>78</v>
      </c>
      <c r="L62" s="146" t="str">
        <f>IF(INT_RQD?="y",V_BLANK+(2*INTERLACE),"")</f>
        <v/>
      </c>
      <c r="M62" s="106" t="str">
        <f t="shared" ref="M62:M67" si="0">(IF(INT_RQD?="y","LINES",""))</f>
        <v/>
      </c>
      <c r="O62" s="133"/>
      <c r="P62" s="28" t="s">
        <v>144</v>
      </c>
      <c r="Q62" s="169">
        <f>IF(RED_BLANK_RQD?="y",ACT_VBI_LINES,V_SYNC_BP+MIN_V_PORCH_RND)</f>
        <v>218</v>
      </c>
      <c r="R62" s="1"/>
      <c r="S62" s="3"/>
      <c r="T62" s="18"/>
      <c r="U62" s="18"/>
      <c r="V62" s="80"/>
      <c r="W62" s="157"/>
      <c r="AE62" s="1"/>
      <c r="AN62" s="18"/>
      <c r="AO62" s="18"/>
      <c r="AP62" s="18"/>
    </row>
    <row r="63" ht="24.95" hidden="1" customHeight="1" spans="1:42">
      <c r="A63" s="23"/>
      <c r="B63" s="24" t="s">
        <v>145</v>
      </c>
      <c r="C63" s="19"/>
      <c r="D63" s="18"/>
      <c r="E63" s="19"/>
      <c r="F63" s="25">
        <f>1000*TOP_MARGIN/ACT_H_FREQ</f>
        <v>0</v>
      </c>
      <c r="G63" s="68" t="s">
        <v>106</v>
      </c>
      <c r="H63" s="84" t="str">
        <f>(IF(INT_RQD?="y",1000*TOP_MARGIN/ACT_H_FREQ,""))</f>
        <v/>
      </c>
      <c r="I63" s="68" t="str">
        <f>(IF(INT_RQD?="y","us",""))</f>
        <v/>
      </c>
      <c r="J63" s="146">
        <f>TOP_MARGIN</f>
        <v>0</v>
      </c>
      <c r="K63" s="147" t="s">
        <v>78</v>
      </c>
      <c r="L63" s="146" t="str">
        <f>(IF(INT_RQD?="y",TOP_MARGIN,""))</f>
        <v/>
      </c>
      <c r="M63" s="106" t="str">
        <f t="shared" si="0"/>
        <v/>
      </c>
      <c r="O63" s="133" t="s">
        <v>146</v>
      </c>
      <c r="P63" s="28"/>
      <c r="Q63" s="169"/>
      <c r="R63" s="1"/>
      <c r="S63" s="3"/>
      <c r="T63" s="18"/>
      <c r="U63" s="18"/>
      <c r="V63" s="80"/>
      <c r="W63" s="157"/>
      <c r="AE63" s="1"/>
      <c r="AN63" s="18"/>
      <c r="AO63" s="18"/>
      <c r="AP63" s="18"/>
    </row>
    <row r="64" ht="24.95" hidden="1" customHeight="1" spans="1:42">
      <c r="A64" s="23"/>
      <c r="B64" s="24" t="s">
        <v>147</v>
      </c>
      <c r="C64" s="19"/>
      <c r="D64" s="18"/>
      <c r="E64" s="19"/>
      <c r="F64" s="25">
        <f>1000*(V_FRONT_PORCH+INTERLACE)/ACT_H_FREQ</f>
        <v>48.5355107375458</v>
      </c>
      <c r="G64" s="68" t="s">
        <v>106</v>
      </c>
      <c r="H64" s="84" t="str">
        <f>IF(INT_RQD?="y",1000*V_FRONT_PORCH/ACT_H_FREQ,"")</f>
        <v/>
      </c>
      <c r="I64" s="68" t="str">
        <f>(IF(INT_RQD?="y","us",""))</f>
        <v/>
      </c>
      <c r="J64" s="146">
        <f>V_FRONT_PORCH+INTERLACE</f>
        <v>23</v>
      </c>
      <c r="K64" s="147" t="s">
        <v>78</v>
      </c>
      <c r="L64" s="146" t="str">
        <f>IF(INT_RQD?="y",V_FRONT_PORCH,"")</f>
        <v/>
      </c>
      <c r="M64" s="106" t="str">
        <f t="shared" si="0"/>
        <v/>
      </c>
      <c r="O64" s="133"/>
      <c r="P64" s="28" t="s">
        <v>148</v>
      </c>
      <c r="Q64" s="169">
        <f>IF(RED_BLANK_RQD?="y",RB_V_FPORCH,MIN_V_PORCH_RND)</f>
        <v>23</v>
      </c>
      <c r="R64" s="1"/>
      <c r="S64" s="3"/>
      <c r="T64" s="18"/>
      <c r="U64" s="18"/>
      <c r="V64" s="80"/>
      <c r="W64" s="157"/>
      <c r="AE64" s="1"/>
      <c r="AN64" s="18"/>
      <c r="AO64" s="18"/>
      <c r="AP64" s="18"/>
    </row>
    <row r="65" ht="24.95" hidden="1" customHeight="1" spans="1:42">
      <c r="A65" s="23"/>
      <c r="B65" s="24" t="s">
        <v>149</v>
      </c>
      <c r="C65" s="19"/>
      <c r="D65" s="18"/>
      <c r="E65" s="19"/>
      <c r="F65" s="25">
        <f>1000*V_SYNC_RND/ACT_H_FREQ</f>
        <v>21.102395972846</v>
      </c>
      <c r="G65" s="68" t="s">
        <v>106</v>
      </c>
      <c r="H65" s="88" t="str">
        <f>IF(INT_RQD?="y",1000*V_SYNC_RND/ACT_H_FREQ,"")</f>
        <v/>
      </c>
      <c r="I65" s="68" t="str">
        <f>(IF(INT_RQD?="y","us",""))</f>
        <v/>
      </c>
      <c r="J65" s="146">
        <f>V_SYNC_RND</f>
        <v>10</v>
      </c>
      <c r="K65" s="147" t="s">
        <v>78</v>
      </c>
      <c r="L65" s="146" t="str">
        <f>IF(INT_RQD?="y",V_SYNC_RND,"")</f>
        <v/>
      </c>
      <c r="M65" s="106" t="str">
        <f t="shared" si="0"/>
        <v/>
      </c>
      <c r="O65" s="133" t="s">
        <v>150</v>
      </c>
      <c r="P65" s="28"/>
      <c r="Q65" s="169"/>
      <c r="R65" s="1"/>
      <c r="S65" s="3"/>
      <c r="T65" s="18"/>
      <c r="U65" s="18"/>
      <c r="AE65" s="1"/>
      <c r="AN65" s="18"/>
      <c r="AO65" s="18"/>
      <c r="AP65" s="18"/>
    </row>
    <row r="66" ht="24.95" hidden="1" customHeight="1" spans="1:42">
      <c r="A66" s="23"/>
      <c r="B66" s="24" t="s">
        <v>151</v>
      </c>
      <c r="C66" s="19"/>
      <c r="D66" s="18"/>
      <c r="E66" s="19"/>
      <c r="F66" s="25">
        <f>1000*V_BACK_PORCH/ACT_H_FREQ</f>
        <v>390.394325497651</v>
      </c>
      <c r="G66" s="68" t="s">
        <v>106</v>
      </c>
      <c r="H66" s="84" t="str">
        <f>IF(INT_RQD?="y",1000*(V_BACK_PORCH+INTERLACE)/ACT_H_FREQ,"")</f>
        <v/>
      </c>
      <c r="I66" s="68" t="str">
        <f>(IF(INT_RQD?="y","us",""))</f>
        <v/>
      </c>
      <c r="J66" s="146">
        <f>V_BACK_PORCH</f>
        <v>185</v>
      </c>
      <c r="K66" s="147" t="s">
        <v>78</v>
      </c>
      <c r="L66" s="146" t="str">
        <f>IF(INT_RQD?="y",V_BACK_PORCH+INTERLACE,"")</f>
        <v/>
      </c>
      <c r="M66" s="106" t="str">
        <f t="shared" si="0"/>
        <v/>
      </c>
      <c r="O66" s="133"/>
      <c r="P66" s="28" t="s">
        <v>152</v>
      </c>
      <c r="Q66" s="169">
        <f>INT(V_SYNC)</f>
        <v>10</v>
      </c>
      <c r="R66" s="1"/>
      <c r="S66" s="3"/>
      <c r="V66" s="18"/>
      <c r="AE66" s="1"/>
      <c r="AN66" s="18"/>
      <c r="AO66" s="18"/>
      <c r="AP66" s="18"/>
    </row>
    <row r="67" ht="24.95" hidden="1" customHeight="1" spans="1:42">
      <c r="A67" s="23"/>
      <c r="B67" s="24" t="s">
        <v>153</v>
      </c>
      <c r="C67" s="19"/>
      <c r="D67" s="18"/>
      <c r="E67" s="19"/>
      <c r="F67" s="25">
        <f>1000*BOT_MARGIN/ACT_H_FREQ</f>
        <v>0</v>
      </c>
      <c r="G67" s="68" t="s">
        <v>106</v>
      </c>
      <c r="H67" s="84" t="str">
        <f>(IF(INT_RQD?="y",1000*BOT_MARGIN/ACT_H_FREQ,""))</f>
        <v/>
      </c>
      <c r="I67" s="68" t="str">
        <f>(IF(INT_RQD?="y","us",""))</f>
        <v/>
      </c>
      <c r="J67" s="146">
        <f>BOT_MARGIN</f>
        <v>0</v>
      </c>
      <c r="K67" s="147" t="s">
        <v>78</v>
      </c>
      <c r="L67" s="146" t="str">
        <f>(IF(INT_RQD?="y",BOT_MARGIN,""))</f>
        <v/>
      </c>
      <c r="M67" s="106" t="str">
        <f t="shared" si="0"/>
        <v/>
      </c>
      <c r="O67" s="133" t="s">
        <v>154</v>
      </c>
      <c r="P67" s="28"/>
      <c r="Q67" s="169"/>
      <c r="R67" s="1"/>
      <c r="S67" s="3"/>
      <c r="V67" s="18"/>
      <c r="AE67" s="1"/>
      <c r="AN67" s="18"/>
      <c r="AO67" s="18"/>
      <c r="AP67" s="18"/>
    </row>
    <row r="68" ht="24.95" hidden="1" customHeight="1" spans="1:42">
      <c r="A68" s="42"/>
      <c r="B68" s="116"/>
      <c r="C68" s="184" t="str">
        <f>IF(B39="","","NOTE: ANY RESULT IN RED PARENTHESIS INDICATES AN ERROR: SOLUTION NOT POSSIBLE WITH GIVEN INPUTS REQUIREMENTS")</f>
        <v/>
      </c>
      <c r="D68" s="45"/>
      <c r="E68" s="44"/>
      <c r="F68" s="185"/>
      <c r="G68" s="186"/>
      <c r="H68" s="45"/>
      <c r="I68" s="45"/>
      <c r="J68" s="44"/>
      <c r="K68" s="45"/>
      <c r="L68" s="45"/>
      <c r="M68" s="118"/>
      <c r="O68" s="133"/>
      <c r="P68" s="28" t="s">
        <v>155</v>
      </c>
      <c r="Q68" s="169">
        <f>V_BLANK-V_FRONT_PORCH-Q66</f>
        <v>185</v>
      </c>
      <c r="R68" s="1"/>
      <c r="S68" s="3"/>
      <c r="AE68" s="1"/>
      <c r="AN68" s="18"/>
      <c r="AO68" s="18"/>
      <c r="AP68" s="18"/>
    </row>
    <row r="69" ht="24.95" hidden="1" customHeight="1" spans="1:42">
      <c r="A69" s="187"/>
      <c r="B69" s="24"/>
      <c r="C69" s="188"/>
      <c r="D69" s="18"/>
      <c r="E69" s="19"/>
      <c r="F69" s="25"/>
      <c r="G69" s="28"/>
      <c r="H69" s="18"/>
      <c r="I69" s="18"/>
      <c r="J69" s="19"/>
      <c r="K69" s="18"/>
      <c r="L69" s="18"/>
      <c r="M69" s="18"/>
      <c r="O69" s="104"/>
      <c r="P69" s="195"/>
      <c r="Q69" s="170"/>
      <c r="R69" s="1"/>
      <c r="S69" s="3"/>
      <c r="AE69" s="1"/>
      <c r="AN69" s="18"/>
      <c r="AO69" s="18"/>
      <c r="AP69" s="18"/>
    </row>
    <row r="70" ht="24.95" hidden="1" customHeight="1" spans="1:42">
      <c r="A70" s="187"/>
      <c r="B70" s="24"/>
      <c r="C70" s="188"/>
      <c r="D70" s="18"/>
      <c r="E70" s="19"/>
      <c r="F70" s="25"/>
      <c r="G70" s="28"/>
      <c r="H70" s="18"/>
      <c r="I70" s="18"/>
      <c r="J70" s="19"/>
      <c r="K70" s="18"/>
      <c r="L70" s="18"/>
      <c r="M70" s="18"/>
      <c r="N70" s="18"/>
      <c r="R70" s="80"/>
      <c r="S70" s="3"/>
      <c r="AE70" s="1"/>
      <c r="AN70" s="18"/>
      <c r="AO70" s="18"/>
      <c r="AP70" s="18"/>
    </row>
    <row r="71" ht="24.95" hidden="1" customHeight="1" spans="1:42">
      <c r="A71" s="187"/>
      <c r="B71" s="24"/>
      <c r="C71" s="188"/>
      <c r="D71" s="18"/>
      <c r="E71" s="19"/>
      <c r="F71" s="25"/>
      <c r="G71" s="28"/>
      <c r="H71" s="18"/>
      <c r="I71" s="18"/>
      <c r="J71" s="19"/>
      <c r="K71" s="18"/>
      <c r="L71" s="18"/>
      <c r="M71" s="18"/>
      <c r="N71" s="80"/>
      <c r="R71" s="80"/>
      <c r="S71" s="3"/>
      <c r="V71" s="18"/>
      <c r="AE71" s="1"/>
      <c r="AN71" s="18"/>
      <c r="AO71" s="18"/>
      <c r="AP71" s="18"/>
    </row>
    <row r="72" ht="24.95" hidden="1" customHeight="1" spans="1:42">
      <c r="A72" s="189"/>
      <c r="B72" s="24"/>
      <c r="C72" s="188"/>
      <c r="D72" s="18"/>
      <c r="E72" s="19"/>
      <c r="F72" s="25"/>
      <c r="G72" s="28"/>
      <c r="H72" s="18"/>
      <c r="I72" s="18"/>
      <c r="J72" s="19"/>
      <c r="K72" s="18"/>
      <c r="L72" s="18"/>
      <c r="M72" s="18"/>
      <c r="N72" s="80"/>
      <c r="R72" s="80"/>
      <c r="S72" s="3"/>
      <c r="V72" s="18"/>
      <c r="AE72" s="1"/>
      <c r="AN72" s="18"/>
      <c r="AO72" s="18"/>
      <c r="AP72" s="18"/>
    </row>
    <row r="73" ht="24.95" hidden="1" customHeight="1" spans="1:42">
      <c r="A73" s="189"/>
      <c r="N73" s="80"/>
      <c r="R73" s="80"/>
      <c r="S73" s="3"/>
      <c r="V73" s="18"/>
      <c r="AE73" s="1"/>
      <c r="AN73" s="18"/>
      <c r="AO73" s="18"/>
      <c r="AP73" s="18"/>
    </row>
    <row r="74" ht="24.95" hidden="1" customHeight="1" spans="2:42">
      <c r="B74" s="190"/>
      <c r="C74" s="21"/>
      <c r="D74" s="22"/>
      <c r="E74" s="21"/>
      <c r="F74" s="46"/>
      <c r="G74" s="22"/>
      <c r="H74" s="22"/>
      <c r="I74" s="22"/>
      <c r="J74" s="21"/>
      <c r="K74" s="21"/>
      <c r="L74" s="22"/>
      <c r="M74" s="93"/>
      <c r="N74" s="80"/>
      <c r="R74" s="80"/>
      <c r="S74" s="3"/>
      <c r="V74" s="18"/>
      <c r="W74" s="157"/>
      <c r="X74" s="18"/>
      <c r="AE74" s="1"/>
      <c r="AN74" s="18"/>
      <c r="AO74" s="18"/>
      <c r="AP74" s="18"/>
    </row>
    <row r="75" ht="24.95" hidden="1" customHeight="1" spans="2:42">
      <c r="B75" s="191" t="s">
        <v>156</v>
      </c>
      <c r="C75" s="19"/>
      <c r="D75" s="102"/>
      <c r="E75" s="19"/>
      <c r="F75" s="47"/>
      <c r="G75" s="102"/>
      <c r="H75" s="102"/>
      <c r="I75" s="102"/>
      <c r="J75" s="102"/>
      <c r="K75" s="102"/>
      <c r="L75" s="102"/>
      <c r="M75" s="145"/>
      <c r="N75" s="80"/>
      <c r="R75" s="80"/>
      <c r="S75" s="3"/>
      <c r="V75" s="18"/>
      <c r="W75" s="157"/>
      <c r="X75" s="18"/>
      <c r="AE75" s="1"/>
      <c r="AN75" s="18"/>
      <c r="AO75" s="18"/>
      <c r="AP75" s="18"/>
    </row>
    <row r="76" ht="24.95" hidden="1" customHeight="1" spans="2:42">
      <c r="B76" s="191"/>
      <c r="C76" s="19"/>
      <c r="D76" s="18"/>
      <c r="E76" s="19"/>
      <c r="F76" s="47"/>
      <c r="G76" s="18"/>
      <c r="H76" s="18"/>
      <c r="I76" s="18"/>
      <c r="J76" s="19"/>
      <c r="K76" s="19"/>
      <c r="L76" s="18"/>
      <c r="M76" s="125"/>
      <c r="N76" s="80"/>
      <c r="R76" s="80"/>
      <c r="S76" s="3"/>
      <c r="V76" s="18"/>
      <c r="W76" s="157"/>
      <c r="X76" s="18"/>
      <c r="AE76" s="1"/>
      <c r="AN76" s="18"/>
      <c r="AO76" s="18"/>
      <c r="AP76" s="18"/>
    </row>
    <row r="77" ht="24.95" hidden="1" customHeight="1" spans="2:42">
      <c r="B77" s="191" t="s">
        <v>157</v>
      </c>
      <c r="C77" s="19"/>
      <c r="D77" s="18"/>
      <c r="E77" s="19"/>
      <c r="F77" s="47"/>
      <c r="G77" s="18"/>
      <c r="H77" s="18"/>
      <c r="I77" s="18"/>
      <c r="J77" s="19"/>
      <c r="K77" s="19"/>
      <c r="L77" s="18"/>
      <c r="M77" s="125"/>
      <c r="N77" s="80"/>
      <c r="R77" s="80"/>
      <c r="S77" s="3"/>
      <c r="V77" s="18"/>
      <c r="W77" s="157"/>
      <c r="X77" s="18"/>
      <c r="AE77" s="1"/>
      <c r="AN77" s="18"/>
      <c r="AO77" s="18"/>
      <c r="AP77" s="18"/>
    </row>
    <row r="78" ht="24.95" hidden="1" customHeight="1" spans="2:42">
      <c r="B78" s="192"/>
      <c r="J78" s="2"/>
      <c r="K78" s="196"/>
      <c r="L78" s="196"/>
      <c r="M78" s="125"/>
      <c r="N78" s="80"/>
      <c r="R78" s="80"/>
      <c r="S78" s="3"/>
      <c r="V78" s="18"/>
      <c r="W78" s="157"/>
      <c r="X78" s="18"/>
      <c r="AE78" s="1"/>
      <c r="AN78" s="18"/>
      <c r="AO78" s="18"/>
      <c r="AP78" s="18"/>
    </row>
    <row r="79" ht="24.95" hidden="1" customHeight="1" spans="2:42">
      <c r="B79" s="192"/>
      <c r="C79" s="47" t="s">
        <v>158</v>
      </c>
      <c r="D79" s="18"/>
      <c r="E79" s="19"/>
      <c r="F79" s="19"/>
      <c r="G79" s="18"/>
      <c r="H79" s="18"/>
      <c r="I79" s="18"/>
      <c r="J79" s="19"/>
      <c r="K79" s="196"/>
      <c r="L79" s="196"/>
      <c r="M79" s="125"/>
      <c r="N79" s="80"/>
      <c r="R79" s="80"/>
      <c r="S79" s="3"/>
      <c r="V79" s="18"/>
      <c r="W79" s="157"/>
      <c r="X79" s="18"/>
      <c r="AE79" s="1"/>
      <c r="AN79" s="18"/>
      <c r="AO79" s="18"/>
      <c r="AP79" s="18"/>
    </row>
    <row r="80" ht="24.95" hidden="1" customHeight="1" spans="2:42">
      <c r="B80" s="192"/>
      <c r="C80" s="19" t="s">
        <v>159</v>
      </c>
      <c r="D80" s="18"/>
      <c r="E80" s="19"/>
      <c r="F80" s="19"/>
      <c r="G80" s="18"/>
      <c r="H80" s="18"/>
      <c r="I80" s="18"/>
      <c r="J80" s="19"/>
      <c r="K80" s="19"/>
      <c r="L80" s="18"/>
      <c r="M80" s="125"/>
      <c r="N80" s="80"/>
      <c r="R80" s="80"/>
      <c r="S80" s="3"/>
      <c r="W80" s="157"/>
      <c r="X80" s="18"/>
      <c r="AE80" s="1"/>
      <c r="AN80" s="18"/>
      <c r="AO80" s="18"/>
      <c r="AP80" s="18"/>
    </row>
    <row r="81" ht="24.95" hidden="1" customHeight="1" spans="2:42">
      <c r="B81" s="192"/>
      <c r="C81" s="19"/>
      <c r="D81" s="18" t="s">
        <v>160</v>
      </c>
      <c r="E81" s="19"/>
      <c r="F81" s="19"/>
      <c r="G81" s="18"/>
      <c r="H81" s="18"/>
      <c r="I81" s="18"/>
      <c r="J81" s="19"/>
      <c r="K81" s="19"/>
      <c r="L81" s="18"/>
      <c r="M81" s="125"/>
      <c r="N81" s="80"/>
      <c r="R81" s="80"/>
      <c r="S81" s="3"/>
      <c r="W81" s="157"/>
      <c r="X81" s="18"/>
      <c r="AE81" s="1"/>
      <c r="AN81" s="18"/>
      <c r="AO81" s="18"/>
      <c r="AP81" s="18"/>
    </row>
    <row r="82" ht="24.95" hidden="1" customHeight="1" spans="2:42">
      <c r="B82" s="192"/>
      <c r="C82" s="19"/>
      <c r="D82" s="18" t="s">
        <v>161</v>
      </c>
      <c r="E82" s="19"/>
      <c r="F82" s="19"/>
      <c r="G82" s="18"/>
      <c r="H82" s="18"/>
      <c r="I82" s="18"/>
      <c r="J82" s="19"/>
      <c r="K82" s="19"/>
      <c r="L82" s="18"/>
      <c r="M82" s="125"/>
      <c r="N82" s="80"/>
      <c r="R82" s="80"/>
      <c r="S82" s="3"/>
      <c r="W82" s="157"/>
      <c r="X82" s="18"/>
      <c r="AE82" s="1"/>
      <c r="AN82" s="18"/>
      <c r="AO82" s="18"/>
      <c r="AP82" s="18"/>
    </row>
    <row r="83" ht="24.95" hidden="1" customHeight="1" spans="2:42">
      <c r="B83" s="192"/>
      <c r="C83" s="19"/>
      <c r="D83" s="48" t="s">
        <v>162</v>
      </c>
      <c r="E83" s="193" t="s">
        <v>163</v>
      </c>
      <c r="J83" s="2"/>
      <c r="K83" s="197">
        <v>1.8</v>
      </c>
      <c r="L83" s="24"/>
      <c r="M83" s="125"/>
      <c r="N83" s="80"/>
      <c r="R83" s="80"/>
      <c r="S83" s="3"/>
      <c r="AE83" s="1"/>
      <c r="AN83" s="18"/>
      <c r="AO83" s="18"/>
      <c r="AP83" s="18"/>
    </row>
    <row r="84" ht="24.95" hidden="1" customHeight="1" spans="2:42">
      <c r="B84" s="192"/>
      <c r="C84" s="19"/>
      <c r="D84" s="48"/>
      <c r="E84" s="193"/>
      <c r="J84" s="2"/>
      <c r="K84" s="193"/>
      <c r="L84" s="24"/>
      <c r="M84" s="125"/>
      <c r="N84" s="80"/>
      <c r="R84" s="1"/>
      <c r="S84" s="3"/>
      <c r="AE84" s="1"/>
      <c r="AN84" s="18"/>
      <c r="AO84" s="18"/>
      <c r="AP84" s="18"/>
    </row>
    <row r="85" ht="24.95" hidden="1" customHeight="1" spans="2:37">
      <c r="B85" s="192"/>
      <c r="C85" s="19"/>
      <c r="D85" s="48"/>
      <c r="J85" s="2"/>
      <c r="K85" s="2"/>
      <c r="L85" s="19"/>
      <c r="M85" s="125"/>
      <c r="N85" s="80"/>
      <c r="R85" s="1"/>
      <c r="S85" s="3"/>
      <c r="AE85" s="1"/>
      <c r="AI85" s="18"/>
      <c r="AJ85" s="18"/>
      <c r="AK85" s="18"/>
    </row>
    <row r="86" ht="24.95" hidden="1" customHeight="1" spans="2:37">
      <c r="B86" s="192"/>
      <c r="C86" s="47" t="s">
        <v>164</v>
      </c>
      <c r="D86" s="18"/>
      <c r="E86" s="19"/>
      <c r="F86" s="19"/>
      <c r="G86" s="18"/>
      <c r="H86" s="18"/>
      <c r="I86" s="18"/>
      <c r="J86" s="19"/>
      <c r="K86" s="19"/>
      <c r="L86" s="19"/>
      <c r="M86" s="125"/>
      <c r="N86" s="18"/>
      <c r="R86" s="1"/>
      <c r="S86" s="3"/>
      <c r="AE86" s="1"/>
      <c r="AI86" s="18"/>
      <c r="AJ86" s="18"/>
      <c r="AK86" s="18"/>
    </row>
    <row r="87" ht="24.95" hidden="1" customHeight="1" spans="2:37">
      <c r="B87" s="192"/>
      <c r="C87" s="19"/>
      <c r="D87" s="48" t="s">
        <v>162</v>
      </c>
      <c r="E87" s="193" t="s">
        <v>165</v>
      </c>
      <c r="F87" s="19"/>
      <c r="G87" s="18"/>
      <c r="H87" s="18"/>
      <c r="I87" s="18"/>
      <c r="J87" s="19"/>
      <c r="K87" s="198">
        <v>8.4999</v>
      </c>
      <c r="L87" s="199"/>
      <c r="M87" s="125"/>
      <c r="N87" s="80"/>
      <c r="R87" s="1"/>
      <c r="S87" s="3"/>
      <c r="AE87" s="1"/>
      <c r="AI87" s="18"/>
      <c r="AJ87" s="18"/>
      <c r="AK87" s="18"/>
    </row>
    <row r="88" ht="24.95" hidden="1" customHeight="1" spans="2:37">
      <c r="B88" s="192"/>
      <c r="C88" s="19"/>
      <c r="D88" s="18"/>
      <c r="E88" s="19"/>
      <c r="F88" s="19"/>
      <c r="G88" s="18"/>
      <c r="H88" s="18"/>
      <c r="I88" s="18"/>
      <c r="J88" s="19"/>
      <c r="K88" s="200"/>
      <c r="L88" s="200"/>
      <c r="M88" s="125"/>
      <c r="N88" s="80"/>
      <c r="R88" s="1"/>
      <c r="S88" s="3"/>
      <c r="AE88" s="1"/>
      <c r="AI88" s="18"/>
      <c r="AJ88" s="18"/>
      <c r="AK88" s="18"/>
    </row>
    <row r="89" ht="24.95" hidden="1" customHeight="1" spans="2:37">
      <c r="B89" s="192"/>
      <c r="C89" s="47" t="s">
        <v>166</v>
      </c>
      <c r="D89" s="18"/>
      <c r="E89" s="19"/>
      <c r="F89" s="19"/>
      <c r="G89" s="18"/>
      <c r="H89" s="18"/>
      <c r="I89" s="18"/>
      <c r="J89" s="19"/>
      <c r="K89" s="200"/>
      <c r="L89" s="200"/>
      <c r="M89" s="125"/>
      <c r="N89" s="80"/>
      <c r="R89" s="1"/>
      <c r="S89" s="3"/>
      <c r="AE89" s="1"/>
      <c r="AI89" s="18"/>
      <c r="AJ89" s="18"/>
      <c r="AK89" s="18"/>
    </row>
    <row r="90" ht="24.95" hidden="1" customHeight="1" spans="2:37">
      <c r="B90" s="192"/>
      <c r="C90" s="19" t="s">
        <v>159</v>
      </c>
      <c r="D90" s="18"/>
      <c r="E90" s="19"/>
      <c r="F90" s="19"/>
      <c r="G90" s="18"/>
      <c r="H90" s="18"/>
      <c r="I90" s="18"/>
      <c r="J90" s="19"/>
      <c r="K90" s="200"/>
      <c r="L90" s="200"/>
      <c r="M90" s="125"/>
      <c r="N90" s="80"/>
      <c r="R90" s="1"/>
      <c r="S90" s="3"/>
      <c r="AE90" s="1"/>
      <c r="AI90" s="18"/>
      <c r="AJ90" s="18"/>
      <c r="AK90" s="18"/>
    </row>
    <row r="91" ht="24.95" hidden="1" customHeight="1" spans="2:37">
      <c r="B91" s="192"/>
      <c r="C91" s="19"/>
      <c r="D91" s="18" t="s">
        <v>167</v>
      </c>
      <c r="E91" s="19"/>
      <c r="F91" s="19"/>
      <c r="G91" s="18"/>
      <c r="H91" s="18"/>
      <c r="I91" s="18"/>
      <c r="J91" s="19"/>
      <c r="K91" s="200"/>
      <c r="L91" s="200"/>
      <c r="M91" s="125"/>
      <c r="N91" s="80"/>
      <c r="R91" s="1"/>
      <c r="S91" s="3"/>
      <c r="AE91" s="1"/>
      <c r="AI91" s="18"/>
      <c r="AJ91" s="18"/>
      <c r="AK91" s="18"/>
    </row>
    <row r="92" ht="24.95" hidden="1" customHeight="1" spans="2:37">
      <c r="B92" s="192"/>
      <c r="C92" s="19"/>
      <c r="D92" s="18" t="s">
        <v>168</v>
      </c>
      <c r="E92" s="19"/>
      <c r="F92" s="19"/>
      <c r="G92" s="18"/>
      <c r="H92" s="18"/>
      <c r="I92" s="18"/>
      <c r="J92" s="19"/>
      <c r="K92" s="200"/>
      <c r="L92" s="200"/>
      <c r="M92" s="125"/>
      <c r="N92" s="80"/>
      <c r="R92" s="1"/>
      <c r="S92" s="3"/>
      <c r="AE92" s="1"/>
      <c r="AI92" s="18"/>
      <c r="AJ92" s="18"/>
      <c r="AK92" s="18"/>
    </row>
    <row r="93" ht="24.95" hidden="1" customHeight="1" spans="2:37">
      <c r="B93" s="192"/>
      <c r="C93" s="19"/>
      <c r="D93" s="48" t="s">
        <v>162</v>
      </c>
      <c r="E93" s="25" t="s">
        <v>169</v>
      </c>
      <c r="F93" s="24"/>
      <c r="G93" s="48"/>
      <c r="H93" s="48"/>
      <c r="I93" s="48"/>
      <c r="J93" s="24"/>
      <c r="K93" s="198">
        <f>IF(ASPECT_RATIO&lt;&gt;"",VLOOKUP(ASPECT_RATIO,VSYNC_WIDTH_TABLE,2,FALSE),VLOOKUP("Custom",VSYNC_WIDTH_TABLE,2,FALSE))</f>
        <v>10</v>
      </c>
      <c r="L93" s="199"/>
      <c r="M93" s="125"/>
      <c r="N93" s="80"/>
      <c r="R93" s="1"/>
      <c r="S93" s="3"/>
      <c r="AE93" s="1"/>
      <c r="AI93" s="18"/>
      <c r="AJ93" s="18"/>
      <c r="AK93" s="18"/>
    </row>
    <row r="94" ht="24.95" hidden="1" customHeight="1" spans="2:37">
      <c r="B94" s="192"/>
      <c r="C94" s="19"/>
      <c r="D94" s="88" t="s">
        <v>162</v>
      </c>
      <c r="E94" s="25" t="s">
        <v>170</v>
      </c>
      <c r="F94" s="25"/>
      <c r="G94" s="88"/>
      <c r="H94" s="88"/>
      <c r="I94" s="88"/>
      <c r="J94" s="25"/>
      <c r="K94" s="201">
        <v>8</v>
      </c>
      <c r="L94" s="25"/>
      <c r="M94" s="125"/>
      <c r="N94" s="80"/>
      <c r="R94" s="1"/>
      <c r="S94" s="3"/>
      <c r="AE94" s="1"/>
      <c r="AI94" s="18"/>
      <c r="AJ94" s="18"/>
      <c r="AK94" s="18"/>
    </row>
    <row r="95" ht="24.95" hidden="1" customHeight="1" spans="2:37">
      <c r="B95" s="192"/>
      <c r="C95" s="19"/>
      <c r="D95" s="18"/>
      <c r="E95" s="19"/>
      <c r="F95" s="19"/>
      <c r="G95" s="18"/>
      <c r="H95" s="18"/>
      <c r="I95" s="18"/>
      <c r="J95" s="19"/>
      <c r="K95" s="19"/>
      <c r="L95" s="19"/>
      <c r="M95" s="125"/>
      <c r="N95" s="80"/>
      <c r="R95" s="1"/>
      <c r="S95" s="3"/>
      <c r="AE95" s="1"/>
      <c r="AI95" s="18"/>
      <c r="AJ95" s="18"/>
      <c r="AK95" s="18"/>
    </row>
    <row r="96" ht="24.95" hidden="1" customHeight="1" spans="2:37">
      <c r="B96" s="192"/>
      <c r="C96" s="19"/>
      <c r="D96" s="18"/>
      <c r="E96" s="19"/>
      <c r="F96" s="19"/>
      <c r="G96" s="18"/>
      <c r="H96" s="18"/>
      <c r="I96" s="18"/>
      <c r="J96" s="19"/>
      <c r="K96" s="19"/>
      <c r="L96" s="19"/>
      <c r="M96" s="125"/>
      <c r="N96" s="80"/>
      <c r="R96" s="1"/>
      <c r="S96" s="3"/>
      <c r="AE96" s="1"/>
      <c r="AI96" s="18"/>
      <c r="AJ96" s="18"/>
      <c r="AK96" s="18"/>
    </row>
    <row r="97" ht="24.95" hidden="1" customHeight="1" spans="2:37">
      <c r="B97" s="192"/>
      <c r="C97" s="47" t="s">
        <v>171</v>
      </c>
      <c r="D97" s="18"/>
      <c r="E97" s="19"/>
      <c r="F97" s="19"/>
      <c r="G97" s="18"/>
      <c r="H97" s="18"/>
      <c r="I97" s="18"/>
      <c r="J97" s="19"/>
      <c r="K97" s="19"/>
      <c r="L97" s="19"/>
      <c r="M97" s="125"/>
      <c r="N97" s="80"/>
      <c r="R97" s="1"/>
      <c r="S97" s="3"/>
      <c r="AE97" s="1"/>
      <c r="AI97" s="18"/>
      <c r="AJ97" s="18"/>
      <c r="AK97" s="18"/>
    </row>
    <row r="98" ht="24.95" hidden="1" customHeight="1" spans="2:37">
      <c r="B98" s="192"/>
      <c r="C98" s="19" t="s">
        <v>159</v>
      </c>
      <c r="D98" s="18"/>
      <c r="E98" s="19"/>
      <c r="F98" s="19"/>
      <c r="G98" s="18"/>
      <c r="H98" s="18"/>
      <c r="I98" s="18"/>
      <c r="J98" s="19"/>
      <c r="K98" s="19"/>
      <c r="L98" s="19"/>
      <c r="M98" s="125"/>
      <c r="N98" s="80"/>
      <c r="R98" s="1"/>
      <c r="S98" s="3"/>
      <c r="AE98" s="1"/>
      <c r="AI98" s="18"/>
      <c r="AJ98" s="18"/>
      <c r="AK98" s="18"/>
    </row>
    <row r="99" ht="24.95" hidden="1" customHeight="1" spans="2:37">
      <c r="B99" s="192"/>
      <c r="C99" s="19"/>
      <c r="D99" s="18" t="s">
        <v>172</v>
      </c>
      <c r="E99" s="19"/>
      <c r="F99" s="19"/>
      <c r="G99" s="18"/>
      <c r="H99" s="18"/>
      <c r="I99" s="18"/>
      <c r="J99" s="19"/>
      <c r="K99" s="19"/>
      <c r="L99" s="19"/>
      <c r="M99" s="125"/>
      <c r="N99" s="80"/>
      <c r="R99" s="1"/>
      <c r="S99" s="3"/>
      <c r="AE99" s="1"/>
      <c r="AI99" s="18"/>
      <c r="AJ99" s="18"/>
      <c r="AK99" s="18"/>
    </row>
    <row r="100" ht="24.95" hidden="1" customHeight="1" spans="2:37">
      <c r="B100" s="192"/>
      <c r="C100" s="19"/>
      <c r="D100" s="48" t="s">
        <v>162</v>
      </c>
      <c r="E100" s="25" t="s">
        <v>173</v>
      </c>
      <c r="F100" s="25"/>
      <c r="G100" s="88"/>
      <c r="H100" s="88"/>
      <c r="I100" s="88"/>
      <c r="J100" s="25"/>
      <c r="K100" s="201">
        <v>550</v>
      </c>
      <c r="L100" s="25"/>
      <c r="M100" s="125"/>
      <c r="N100" s="80"/>
      <c r="R100" s="1"/>
      <c r="S100" s="3"/>
      <c r="AE100" s="1"/>
      <c r="AI100" s="18"/>
      <c r="AJ100" s="18"/>
      <c r="AK100" s="18"/>
    </row>
    <row r="101" ht="18" hidden="1" spans="2:37">
      <c r="B101" s="192"/>
      <c r="C101" s="19"/>
      <c r="I101" s="202" t="s">
        <v>174</v>
      </c>
      <c r="L101" s="18"/>
      <c r="M101" s="125"/>
      <c r="N101" s="80"/>
      <c r="R101" s="1"/>
      <c r="S101" s="3"/>
      <c r="AE101" s="1"/>
      <c r="AI101" s="18"/>
      <c r="AJ101" s="18"/>
      <c r="AK101" s="18"/>
    </row>
    <row r="102" ht="18" hidden="1" spans="2:37">
      <c r="B102" s="192"/>
      <c r="C102" s="19"/>
      <c r="D102" s="48" t="s">
        <v>162</v>
      </c>
      <c r="E102" s="25" t="s">
        <v>175</v>
      </c>
      <c r="I102" s="202"/>
      <c r="K102" s="203">
        <v>6</v>
      </c>
      <c r="L102" s="18"/>
      <c r="M102" s="125"/>
      <c r="N102" s="80"/>
      <c r="R102" s="1"/>
      <c r="S102" s="3"/>
      <c r="AE102" s="1"/>
      <c r="AI102" s="18"/>
      <c r="AJ102" s="18"/>
      <c r="AK102" s="18"/>
    </row>
    <row r="103" ht="18" hidden="1" spans="2:37">
      <c r="B103" s="192"/>
      <c r="C103" s="19"/>
      <c r="D103" s="48" t="s">
        <v>162</v>
      </c>
      <c r="E103" s="25" t="s">
        <v>176</v>
      </c>
      <c r="F103" s="19"/>
      <c r="G103" s="18"/>
      <c r="H103" s="18"/>
      <c r="I103" s="18"/>
      <c r="J103" s="19"/>
      <c r="K103" s="198">
        <v>3</v>
      </c>
      <c r="L103" s="18"/>
      <c r="M103" s="125"/>
      <c r="N103" s="80"/>
      <c r="R103" s="1"/>
      <c r="S103" s="3"/>
      <c r="AE103" s="1"/>
      <c r="AI103" s="18"/>
      <c r="AJ103" s="18"/>
      <c r="AK103" s="18"/>
    </row>
    <row r="104" ht="24.95" hidden="1" customHeight="1" spans="2:37">
      <c r="B104" s="192"/>
      <c r="C104" s="19"/>
      <c r="D104" s="18"/>
      <c r="E104" s="19"/>
      <c r="F104" s="19"/>
      <c r="G104" s="18"/>
      <c r="H104" s="18"/>
      <c r="I104" s="18"/>
      <c r="J104" s="19"/>
      <c r="K104" s="19"/>
      <c r="L104" s="19"/>
      <c r="M104" s="125"/>
      <c r="R104" s="1"/>
      <c r="S104" s="3"/>
      <c r="AE104" s="1"/>
      <c r="AI104" s="18"/>
      <c r="AJ104" s="18"/>
      <c r="AK104" s="18"/>
    </row>
    <row r="105" ht="24.95" hidden="1" customHeight="1" spans="2:37">
      <c r="B105" s="192"/>
      <c r="C105" s="47" t="s">
        <v>177</v>
      </c>
      <c r="D105" s="18"/>
      <c r="E105" s="19"/>
      <c r="F105" s="19"/>
      <c r="G105" s="18"/>
      <c r="H105" s="18"/>
      <c r="I105" s="18"/>
      <c r="J105" s="19"/>
      <c r="K105" s="19"/>
      <c r="L105" s="19"/>
      <c r="M105" s="125"/>
      <c r="O105" s="157"/>
      <c r="P105" s="68"/>
      <c r="Q105" s="26"/>
      <c r="R105" s="1"/>
      <c r="S105" s="3"/>
      <c r="AE105" s="1"/>
      <c r="AI105" s="18"/>
      <c r="AJ105" s="18"/>
      <c r="AK105" s="18"/>
    </row>
    <row r="106" ht="24.95" hidden="1" customHeight="1" spans="2:37">
      <c r="B106" s="192"/>
      <c r="C106" s="19" t="s">
        <v>159</v>
      </c>
      <c r="D106" s="18"/>
      <c r="E106" s="19"/>
      <c r="F106" s="19"/>
      <c r="G106" s="18"/>
      <c r="H106" s="18"/>
      <c r="I106" s="18"/>
      <c r="J106" s="19"/>
      <c r="K106" s="19"/>
      <c r="L106" s="19"/>
      <c r="M106" s="125"/>
      <c r="O106" s="157"/>
      <c r="P106" s="68"/>
      <c r="Q106" s="26"/>
      <c r="R106" s="1"/>
      <c r="S106" s="3"/>
      <c r="AE106" s="1"/>
      <c r="AI106" s="18"/>
      <c r="AJ106" s="18"/>
      <c r="AK106" s="18"/>
    </row>
    <row r="107" ht="24.95" hidden="1" customHeight="1" spans="2:37">
      <c r="B107" s="192"/>
      <c r="C107" s="19"/>
      <c r="D107" s="18" t="s">
        <v>178</v>
      </c>
      <c r="E107" s="19"/>
      <c r="F107" s="19"/>
      <c r="G107" s="18"/>
      <c r="H107" s="18"/>
      <c r="I107" s="18"/>
      <c r="J107" s="19"/>
      <c r="K107" s="19"/>
      <c r="L107" s="19"/>
      <c r="M107" s="125"/>
      <c r="O107" s="157"/>
      <c r="P107" s="68"/>
      <c r="Q107" s="26"/>
      <c r="R107" s="1"/>
      <c r="S107" s="3"/>
      <c r="AE107" s="1"/>
      <c r="AI107" s="18"/>
      <c r="AJ107" s="80"/>
      <c r="AK107" s="18"/>
    </row>
    <row r="108" ht="24.95" hidden="1" customHeight="1" spans="2:37">
      <c r="B108" s="192"/>
      <c r="C108" s="19"/>
      <c r="D108" s="18" t="s">
        <v>179</v>
      </c>
      <c r="E108" s="19"/>
      <c r="F108" s="19"/>
      <c r="G108" s="18"/>
      <c r="H108" s="18"/>
      <c r="I108" s="18"/>
      <c r="J108" s="26"/>
      <c r="K108" s="26"/>
      <c r="L108" s="26"/>
      <c r="M108" s="125"/>
      <c r="O108" s="157"/>
      <c r="P108" s="68"/>
      <c r="Q108" s="26"/>
      <c r="R108" s="1"/>
      <c r="S108" s="3"/>
      <c r="AE108" s="1"/>
      <c r="AI108" s="18"/>
      <c r="AJ108" s="80"/>
      <c r="AK108" s="18"/>
    </row>
    <row r="109" ht="24.95" hidden="1" customHeight="1" spans="2:36">
      <c r="B109" s="192"/>
      <c r="C109" s="19"/>
      <c r="D109" s="194" t="s">
        <v>180</v>
      </c>
      <c r="E109" s="19"/>
      <c r="F109" s="19"/>
      <c r="G109" s="18"/>
      <c r="H109" s="18"/>
      <c r="I109" s="18"/>
      <c r="J109" s="19"/>
      <c r="K109" s="26"/>
      <c r="L109" s="26"/>
      <c r="M109" s="125"/>
      <c r="O109" s="157"/>
      <c r="P109" s="68"/>
      <c r="Q109" s="26"/>
      <c r="R109" s="1"/>
      <c r="S109" s="3"/>
      <c r="AE109" s="1"/>
      <c r="AI109" s="18"/>
      <c r="AJ109" s="80"/>
    </row>
    <row r="110" ht="24.95" hidden="1" customHeight="1" spans="2:36">
      <c r="B110" s="192"/>
      <c r="C110" s="19"/>
      <c r="D110" s="48"/>
      <c r="E110" s="24" t="s">
        <v>181</v>
      </c>
      <c r="F110" s="24"/>
      <c r="G110" s="48"/>
      <c r="H110" s="48"/>
      <c r="I110" s="48"/>
      <c r="J110" s="24"/>
      <c r="K110" s="204">
        <v>600</v>
      </c>
      <c r="L110" s="54"/>
      <c r="M110" s="125"/>
      <c r="O110" s="157"/>
      <c r="P110" s="68"/>
      <c r="Q110" s="26"/>
      <c r="R110" s="1"/>
      <c r="S110" s="3"/>
      <c r="AE110" s="1"/>
      <c r="AI110" s="18"/>
      <c r="AJ110" s="18"/>
    </row>
    <row r="111" ht="24.95" hidden="1" customHeight="1" spans="2:36">
      <c r="B111" s="192"/>
      <c r="C111" s="19"/>
      <c r="D111" s="88"/>
      <c r="E111" s="24" t="s">
        <v>182</v>
      </c>
      <c r="F111" s="24"/>
      <c r="G111" s="48"/>
      <c r="H111" s="48"/>
      <c r="I111" s="48"/>
      <c r="J111" s="24"/>
      <c r="K111" s="204">
        <v>40</v>
      </c>
      <c r="L111" s="54"/>
      <c r="M111" s="125"/>
      <c r="O111" s="157"/>
      <c r="P111" s="68"/>
      <c r="Q111" s="26"/>
      <c r="R111" s="1"/>
      <c r="S111" s="3"/>
      <c r="AE111" s="1"/>
      <c r="AI111" s="18"/>
      <c r="AJ111" s="18"/>
    </row>
    <row r="112" ht="24.95" hidden="1" customHeight="1" spans="2:36">
      <c r="B112" s="192"/>
      <c r="C112" s="19"/>
      <c r="D112" s="88"/>
      <c r="E112" s="24" t="s">
        <v>183</v>
      </c>
      <c r="F112" s="19"/>
      <c r="G112" s="18"/>
      <c r="H112" s="18"/>
      <c r="I112" s="18"/>
      <c r="J112" s="19"/>
      <c r="K112" s="204">
        <v>128</v>
      </c>
      <c r="L112" s="54"/>
      <c r="M112" s="125"/>
      <c r="O112" s="157"/>
      <c r="P112" s="68"/>
      <c r="Q112" s="26"/>
      <c r="R112" s="1"/>
      <c r="S112" s="3"/>
      <c r="AE112" s="1"/>
      <c r="AI112" s="18"/>
      <c r="AJ112" s="18"/>
    </row>
    <row r="113" ht="18" hidden="1" spans="2:36">
      <c r="B113" s="192"/>
      <c r="C113" s="19"/>
      <c r="D113" s="88"/>
      <c r="E113" s="24" t="s">
        <v>184</v>
      </c>
      <c r="F113" s="19"/>
      <c r="G113" s="18"/>
      <c r="H113" s="18"/>
      <c r="I113" s="18"/>
      <c r="J113" s="19"/>
      <c r="K113" s="204">
        <v>20</v>
      </c>
      <c r="L113" s="54"/>
      <c r="M113" s="125"/>
      <c r="O113" s="157"/>
      <c r="P113" s="68"/>
      <c r="Q113" s="26"/>
      <c r="R113" s="1"/>
      <c r="S113" s="3"/>
      <c r="AE113" s="1"/>
      <c r="AI113" s="18"/>
      <c r="AJ113" s="18"/>
    </row>
    <row r="114" ht="17.25" hidden="1" spans="2:31">
      <c r="B114" s="192"/>
      <c r="C114" s="19"/>
      <c r="D114" s="88"/>
      <c r="E114" s="24"/>
      <c r="F114" s="19"/>
      <c r="G114" s="18"/>
      <c r="H114" s="18"/>
      <c r="I114" s="18"/>
      <c r="J114" s="19"/>
      <c r="K114" s="54"/>
      <c r="L114" s="54"/>
      <c r="M114" s="125"/>
      <c r="O114" s="157"/>
      <c r="P114" s="68"/>
      <c r="Q114" s="26"/>
      <c r="R114" s="1"/>
      <c r="S114" s="3"/>
      <c r="AE114" s="1"/>
    </row>
    <row r="115" hidden="1" spans="2:31">
      <c r="B115" s="192"/>
      <c r="C115" s="19"/>
      <c r="D115" s="88"/>
      <c r="E115" s="24" t="s">
        <v>185</v>
      </c>
      <c r="F115" s="19"/>
      <c r="G115" s="18"/>
      <c r="H115" s="18"/>
      <c r="I115" s="18"/>
      <c r="J115" s="19"/>
      <c r="K115" s="54">
        <f>GTF_K_VAR/256*GTF_M_VAR</f>
        <v>300</v>
      </c>
      <c r="L115" s="54"/>
      <c r="M115" s="125"/>
      <c r="O115" s="157"/>
      <c r="P115" s="68"/>
      <c r="Q115" s="26"/>
      <c r="R115" s="1"/>
      <c r="S115" s="3"/>
      <c r="AE115" s="1"/>
    </row>
    <row r="116" hidden="1" spans="2:31">
      <c r="B116" s="192"/>
      <c r="C116" s="19"/>
      <c r="D116" s="88"/>
      <c r="E116" s="24" t="s">
        <v>186</v>
      </c>
      <c r="F116" s="19"/>
      <c r="G116" s="18"/>
      <c r="H116" s="18"/>
      <c r="I116" s="18"/>
      <c r="J116" s="19"/>
      <c r="K116" s="54">
        <f>((GTF_C_VAR-GTF_J_VAR)*GTF_K_VAR/256)+GTF_J_VAR</f>
        <v>30</v>
      </c>
      <c r="L116" s="54"/>
      <c r="M116" s="125"/>
      <c r="O116" s="157"/>
      <c r="P116" s="68"/>
      <c r="Q116" s="26"/>
      <c r="R116" s="1"/>
      <c r="S116" s="3"/>
      <c r="AE116" s="1"/>
    </row>
    <row r="117" hidden="1" spans="2:31">
      <c r="B117" s="192"/>
      <c r="C117" s="19"/>
      <c r="D117" s="88"/>
      <c r="E117" s="24"/>
      <c r="F117" s="19"/>
      <c r="G117" s="18"/>
      <c r="H117" s="18"/>
      <c r="I117" s="18"/>
      <c r="J117" s="19"/>
      <c r="K117" s="54"/>
      <c r="L117" s="54"/>
      <c r="M117" s="125"/>
      <c r="O117" s="157"/>
      <c r="P117" s="68"/>
      <c r="Q117" s="26"/>
      <c r="R117" s="1"/>
      <c r="S117" s="3"/>
      <c r="AE117" s="1"/>
    </row>
    <row r="118" hidden="1" spans="2:31">
      <c r="B118" s="192"/>
      <c r="C118" s="19"/>
      <c r="D118" s="88"/>
      <c r="E118" s="24"/>
      <c r="F118" s="19"/>
      <c r="G118" s="18"/>
      <c r="H118" s="18"/>
      <c r="I118" s="18"/>
      <c r="J118" s="19"/>
      <c r="K118" s="54"/>
      <c r="L118" s="54"/>
      <c r="M118" s="125"/>
      <c r="O118" s="157"/>
      <c r="P118" s="68"/>
      <c r="Q118" s="26"/>
      <c r="R118" s="1"/>
      <c r="S118" s="3"/>
      <c r="AE118" s="1"/>
    </row>
    <row r="119" ht="17.25" hidden="1" spans="2:31">
      <c r="B119" s="191" t="s">
        <v>187</v>
      </c>
      <c r="C119" s="19"/>
      <c r="D119" s="88"/>
      <c r="E119" s="24"/>
      <c r="F119" s="19"/>
      <c r="G119" s="18"/>
      <c r="H119" s="18"/>
      <c r="I119" s="18"/>
      <c r="J119" s="19"/>
      <c r="K119" s="54"/>
      <c r="L119" s="54"/>
      <c r="M119" s="125"/>
      <c r="Q119" s="208"/>
      <c r="R119" s="1"/>
      <c r="S119" s="3"/>
      <c r="AE119" s="1"/>
    </row>
    <row r="120" ht="18" hidden="1" spans="2:31">
      <c r="B120" s="192"/>
      <c r="C120" s="19"/>
      <c r="D120" s="88" t="s">
        <v>188</v>
      </c>
      <c r="E120" s="25"/>
      <c r="I120" s="202"/>
      <c r="K120" s="203">
        <v>160</v>
      </c>
      <c r="L120" s="54"/>
      <c r="M120" s="125"/>
      <c r="R120" s="1"/>
      <c r="S120" s="3"/>
      <c r="AE120" s="1"/>
    </row>
    <row r="121" ht="18" hidden="1" spans="2:31">
      <c r="B121" s="192"/>
      <c r="C121" s="19"/>
      <c r="D121" s="88" t="s">
        <v>189</v>
      </c>
      <c r="E121" s="25"/>
      <c r="I121" s="202"/>
      <c r="K121" s="203">
        <v>32</v>
      </c>
      <c r="L121" s="54"/>
      <c r="M121" s="125"/>
      <c r="R121" s="1"/>
      <c r="S121" s="3"/>
      <c r="AE121" s="1"/>
    </row>
    <row r="122" ht="18" hidden="1" spans="2:31">
      <c r="B122" s="192"/>
      <c r="C122" s="19"/>
      <c r="D122" s="88"/>
      <c r="E122" s="25"/>
      <c r="I122" s="202"/>
      <c r="K122" s="205"/>
      <c r="L122" s="54"/>
      <c r="M122" s="125"/>
      <c r="R122" s="1"/>
      <c r="S122" s="3"/>
      <c r="AE122" s="1"/>
    </row>
    <row r="123" ht="18" hidden="1" spans="2:31">
      <c r="B123" s="192"/>
      <c r="C123" s="19"/>
      <c r="D123" s="88" t="s">
        <v>190</v>
      </c>
      <c r="E123" s="25"/>
      <c r="I123" s="202"/>
      <c r="K123" s="201">
        <v>460</v>
      </c>
      <c r="L123" s="54"/>
      <c r="M123" s="125"/>
      <c r="R123" s="1"/>
      <c r="S123" s="3"/>
      <c r="AE123" s="1"/>
    </row>
    <row r="124" ht="18" hidden="1" spans="2:31">
      <c r="B124" s="192"/>
      <c r="C124" s="19"/>
      <c r="D124" s="88" t="s">
        <v>191</v>
      </c>
      <c r="E124" s="25"/>
      <c r="I124" s="202"/>
      <c r="K124" s="203">
        <v>23</v>
      </c>
      <c r="L124" s="54"/>
      <c r="M124" s="125"/>
      <c r="R124" s="1"/>
      <c r="S124" s="3"/>
      <c r="AE124" s="1"/>
    </row>
    <row r="125" ht="18" hidden="1" spans="2:31">
      <c r="B125" s="192"/>
      <c r="C125" s="19"/>
      <c r="D125" s="88" t="s">
        <v>192</v>
      </c>
      <c r="E125" s="25"/>
      <c r="I125" s="202"/>
      <c r="K125" s="203">
        <v>3</v>
      </c>
      <c r="L125" s="54"/>
      <c r="M125" s="125"/>
      <c r="R125" s="1"/>
      <c r="S125" s="3"/>
      <c r="AE125" s="1"/>
    </row>
    <row r="126" ht="17.25" hidden="1" spans="2:31">
      <c r="B126" s="192"/>
      <c r="C126" s="19"/>
      <c r="D126" s="88"/>
      <c r="E126" s="25"/>
      <c r="I126" s="202"/>
      <c r="K126" s="206"/>
      <c r="L126" s="54"/>
      <c r="M126" s="125"/>
      <c r="R126" s="1"/>
      <c r="S126" s="3"/>
      <c r="AE126" s="1"/>
    </row>
    <row r="127" ht="17.25" hidden="1" spans="2:31">
      <c r="B127" s="192"/>
      <c r="C127" s="19"/>
      <c r="D127" s="88"/>
      <c r="E127" s="25"/>
      <c r="I127" s="202"/>
      <c r="K127" s="207"/>
      <c r="L127" s="54"/>
      <c r="M127" s="125"/>
      <c r="R127" s="1"/>
      <c r="S127" s="3"/>
      <c r="AE127" s="1"/>
    </row>
    <row r="128" ht="18" hidden="1" spans="2:31">
      <c r="B128" s="191" t="s">
        <v>193</v>
      </c>
      <c r="C128" s="19"/>
      <c r="D128" s="88"/>
      <c r="E128" s="25"/>
      <c r="I128" s="202"/>
      <c r="K128" s="201">
        <v>0.001</v>
      </c>
      <c r="L128" s="54"/>
      <c r="M128" s="125"/>
      <c r="R128" s="1"/>
      <c r="S128" s="3"/>
      <c r="AE128" s="1"/>
    </row>
    <row r="129" ht="17.25" hidden="1" spans="2:31">
      <c r="B129" s="191"/>
      <c r="C129" s="19"/>
      <c r="D129" s="88"/>
      <c r="E129" s="25"/>
      <c r="I129" s="202"/>
      <c r="K129" s="25"/>
      <c r="L129" s="54"/>
      <c r="M129" s="125"/>
      <c r="R129" s="1"/>
      <c r="S129" s="3"/>
      <c r="AE129" s="1"/>
    </row>
    <row r="130" ht="24" hidden="1" customHeight="1" spans="2:31">
      <c r="B130" s="192"/>
      <c r="C130" s="19"/>
      <c r="D130" s="18"/>
      <c r="E130" s="19"/>
      <c r="F130" s="19"/>
      <c r="G130" s="18"/>
      <c r="H130" s="18"/>
      <c r="I130" s="18"/>
      <c r="J130" s="18"/>
      <c r="K130" s="19"/>
      <c r="L130" s="19"/>
      <c r="M130" s="125"/>
      <c r="N130" s="18"/>
      <c r="O130" s="1"/>
      <c r="P130" s="3"/>
      <c r="Q130" s="4"/>
      <c r="R130" s="2"/>
      <c r="S130" s="1"/>
      <c r="T130" s="3"/>
      <c r="W130" s="1"/>
      <c r="X130" s="3"/>
      <c r="AE130" s="1"/>
    </row>
    <row r="131" ht="24" hidden="1" customHeight="1" spans="2:31">
      <c r="B131" s="191" t="s">
        <v>194</v>
      </c>
      <c r="C131" s="19"/>
      <c r="D131" s="18"/>
      <c r="E131" s="19"/>
      <c r="F131" s="19"/>
      <c r="G131" s="18"/>
      <c r="H131" s="18"/>
      <c r="I131" s="18"/>
      <c r="J131" s="18"/>
      <c r="K131" s="19"/>
      <c r="L131" s="19"/>
      <c r="M131" s="125"/>
      <c r="N131" s="18"/>
      <c r="O131" s="1"/>
      <c r="P131" s="3"/>
      <c r="Q131" s="4"/>
      <c r="R131" s="2"/>
      <c r="S131" s="1"/>
      <c r="T131" s="3"/>
      <c r="W131" s="1"/>
      <c r="X131" s="3"/>
      <c r="AE131" s="1"/>
    </row>
    <row r="132" ht="24" hidden="1" customHeight="1" spans="2:31">
      <c r="B132" s="191"/>
      <c r="C132" s="19"/>
      <c r="D132" s="18"/>
      <c r="E132" s="19"/>
      <c r="F132" s="19"/>
      <c r="G132" s="18"/>
      <c r="H132" s="18"/>
      <c r="I132" s="18"/>
      <c r="J132" s="18"/>
      <c r="K132" s="19"/>
      <c r="L132" s="19"/>
      <c r="M132" s="125"/>
      <c r="N132" s="18"/>
      <c r="O132" s="1"/>
      <c r="P132" s="3"/>
      <c r="Q132" s="4"/>
      <c r="R132" s="2"/>
      <c r="S132" s="1"/>
      <c r="T132" s="3"/>
      <c r="W132" s="1"/>
      <c r="X132" s="3"/>
      <c r="AE132" s="1"/>
    </row>
    <row r="133" ht="24" hidden="1" customHeight="1" spans="2:31">
      <c r="B133" s="191"/>
      <c r="C133" s="19"/>
      <c r="D133" s="209" t="s">
        <v>195</v>
      </c>
      <c r="E133" s="19"/>
      <c r="F133" s="19"/>
      <c r="G133" s="209" t="s">
        <v>196</v>
      </c>
      <c r="H133" s="18"/>
      <c r="I133" s="18"/>
      <c r="J133" s="18"/>
      <c r="K133" s="19"/>
      <c r="L133" s="19"/>
      <c r="M133" s="125"/>
      <c r="N133" s="18"/>
      <c r="O133" s="1"/>
      <c r="P133" s="3"/>
      <c r="Q133" s="4"/>
      <c r="R133" s="2"/>
      <c r="S133" s="1"/>
      <c r="T133" s="3"/>
      <c r="W133" s="1"/>
      <c r="X133" s="3"/>
      <c r="AE133" s="1"/>
    </row>
    <row r="134" ht="24" hidden="1" customHeight="1" spans="2:31">
      <c r="B134" s="192"/>
      <c r="C134" s="19"/>
      <c r="D134" s="18"/>
      <c r="E134" s="210" t="s">
        <v>197</v>
      </c>
      <c r="F134" s="19"/>
      <c r="G134" s="18"/>
      <c r="H134" s="18"/>
      <c r="I134" s="18"/>
      <c r="J134" s="18"/>
      <c r="K134" s="19"/>
      <c r="L134" s="19"/>
      <c r="M134" s="125"/>
      <c r="N134" s="18"/>
      <c r="O134" s="1"/>
      <c r="P134" s="3"/>
      <c r="Q134" s="4"/>
      <c r="R134" s="2"/>
      <c r="S134" s="1"/>
      <c r="T134" s="3"/>
      <c r="W134" s="1"/>
      <c r="X134" s="3"/>
      <c r="AE134" s="1"/>
    </row>
    <row r="135" ht="24" hidden="1" customHeight="1" spans="2:31">
      <c r="B135" s="192"/>
      <c r="C135" s="19"/>
      <c r="D135" s="236" t="s">
        <v>198</v>
      </c>
      <c r="E135" s="212">
        <v>4</v>
      </c>
      <c r="F135" s="19"/>
      <c r="G135" s="213" t="s">
        <v>199</v>
      </c>
      <c r="H135" s="214" t="s">
        <v>200</v>
      </c>
      <c r="I135" s="227" t="s">
        <v>201</v>
      </c>
      <c r="J135" s="228"/>
      <c r="K135" s="229"/>
      <c r="L135" s="19"/>
      <c r="M135" s="125"/>
      <c r="N135" s="18"/>
      <c r="O135" s="1"/>
      <c r="P135" s="3"/>
      <c r="Q135" s="4"/>
      <c r="R135" s="2"/>
      <c r="S135" s="1"/>
      <c r="T135" s="3"/>
      <c r="W135" s="1"/>
      <c r="X135" s="3"/>
      <c r="AE135" s="1"/>
    </row>
    <row r="136" ht="24" hidden="1" customHeight="1" spans="2:31">
      <c r="B136" s="192"/>
      <c r="C136" s="19"/>
      <c r="D136" s="237" t="s">
        <v>202</v>
      </c>
      <c r="E136" s="216">
        <f t="shared" ref="E136:E142" si="1">E135+1</f>
        <v>5</v>
      </c>
      <c r="F136" s="19"/>
      <c r="G136" s="217" t="s">
        <v>203</v>
      </c>
      <c r="H136" s="218" t="s">
        <v>204</v>
      </c>
      <c r="I136" s="230" t="s">
        <v>205</v>
      </c>
      <c r="J136" s="231"/>
      <c r="K136" s="212"/>
      <c r="L136" s="19"/>
      <c r="M136" s="125"/>
      <c r="N136" s="18"/>
      <c r="O136" s="1"/>
      <c r="P136" s="3"/>
      <c r="Q136" s="4"/>
      <c r="R136" s="2"/>
      <c r="S136" s="1"/>
      <c r="T136" s="3"/>
      <c r="W136" s="1"/>
      <c r="X136" s="3"/>
      <c r="AE136" s="1"/>
    </row>
    <row r="137" ht="24" hidden="1" customHeight="1" spans="2:31">
      <c r="B137" s="192"/>
      <c r="C137" s="19"/>
      <c r="D137" s="237" t="s">
        <v>206</v>
      </c>
      <c r="E137" s="216">
        <f t="shared" si="1"/>
        <v>6</v>
      </c>
      <c r="F137" s="219"/>
      <c r="G137" s="220" t="s">
        <v>204</v>
      </c>
      <c r="H137" s="221" t="s">
        <v>203</v>
      </c>
      <c r="I137" s="232" t="s">
        <v>207</v>
      </c>
      <c r="J137" s="233"/>
      <c r="K137" s="224"/>
      <c r="L137" s="19"/>
      <c r="M137" s="125"/>
      <c r="N137" s="18"/>
      <c r="O137" s="1"/>
      <c r="P137" s="3"/>
      <c r="Q137" s="4"/>
      <c r="R137" s="2"/>
      <c r="S137" s="1"/>
      <c r="T137" s="3"/>
      <c r="W137" s="1"/>
      <c r="X137" s="3"/>
      <c r="AE137" s="1"/>
    </row>
    <row r="138" ht="24" hidden="1" customHeight="1" spans="2:31">
      <c r="B138" s="192"/>
      <c r="C138" s="19"/>
      <c r="D138" s="237" t="s">
        <v>208</v>
      </c>
      <c r="E138" s="216">
        <f t="shared" si="1"/>
        <v>7</v>
      </c>
      <c r="F138" s="19"/>
      <c r="G138" s="18"/>
      <c r="H138" s="18"/>
      <c r="I138" s="18"/>
      <c r="J138" s="18"/>
      <c r="K138" s="19"/>
      <c r="L138" s="19"/>
      <c r="M138" s="125"/>
      <c r="N138" s="18"/>
      <c r="O138" s="1"/>
      <c r="P138" s="3"/>
      <c r="Q138" s="4"/>
      <c r="R138" s="2"/>
      <c r="S138" s="1"/>
      <c r="T138" s="3"/>
      <c r="W138" s="1"/>
      <c r="X138" s="3"/>
      <c r="AE138" s="1"/>
    </row>
    <row r="139" ht="24" hidden="1" customHeight="1" spans="2:31">
      <c r="B139" s="192"/>
      <c r="C139" s="19"/>
      <c r="D139" s="237" t="s">
        <v>209</v>
      </c>
      <c r="E139" s="216">
        <v>7</v>
      </c>
      <c r="F139" s="19"/>
      <c r="G139" s="18"/>
      <c r="H139" s="18"/>
      <c r="I139" s="18"/>
      <c r="J139" s="18"/>
      <c r="K139" s="19"/>
      <c r="L139" s="19"/>
      <c r="M139" s="125"/>
      <c r="N139" s="18"/>
      <c r="O139" s="1"/>
      <c r="P139" s="3"/>
      <c r="Q139" s="4"/>
      <c r="R139" s="2"/>
      <c r="S139" s="1"/>
      <c r="T139" s="3"/>
      <c r="W139" s="1"/>
      <c r="X139" s="3"/>
      <c r="AE139" s="1"/>
    </row>
    <row r="140" ht="24" hidden="1" customHeight="1" spans="2:31">
      <c r="B140" s="192"/>
      <c r="C140" s="19"/>
      <c r="D140" s="215" t="s">
        <v>210</v>
      </c>
      <c r="E140" s="216">
        <f>E138+1</f>
        <v>8</v>
      </c>
      <c r="F140" s="19"/>
      <c r="G140" s="18"/>
      <c r="H140" s="18"/>
      <c r="I140" s="18"/>
      <c r="J140" s="18"/>
      <c r="K140" s="19"/>
      <c r="L140" s="19"/>
      <c r="M140" s="125"/>
      <c r="N140" s="18"/>
      <c r="O140" s="1"/>
      <c r="P140" s="3"/>
      <c r="Q140" s="4"/>
      <c r="R140" s="2"/>
      <c r="S140" s="1"/>
      <c r="T140" s="3"/>
      <c r="W140" s="1"/>
      <c r="X140" s="3"/>
      <c r="AE140" s="1"/>
    </row>
    <row r="141" ht="24" hidden="1" customHeight="1" spans="2:31">
      <c r="B141" s="192"/>
      <c r="C141" s="19"/>
      <c r="D141" s="222" t="s">
        <v>210</v>
      </c>
      <c r="E141" s="216">
        <f t="shared" si="1"/>
        <v>9</v>
      </c>
      <c r="F141" s="19"/>
      <c r="G141" s="18"/>
      <c r="H141" s="18"/>
      <c r="I141" s="18"/>
      <c r="J141" s="18"/>
      <c r="K141" s="19"/>
      <c r="L141" s="19"/>
      <c r="M141" s="125"/>
      <c r="N141" s="18"/>
      <c r="O141" s="1"/>
      <c r="P141" s="3"/>
      <c r="Q141" s="4"/>
      <c r="R141" s="2"/>
      <c r="S141" s="1"/>
      <c r="T141" s="3"/>
      <c r="W141" s="1"/>
      <c r="X141" s="3"/>
      <c r="AE141" s="1"/>
    </row>
    <row r="142" ht="24" hidden="1" customHeight="1" spans="2:31">
      <c r="B142" s="192"/>
      <c r="C142" s="19"/>
      <c r="D142" s="223" t="s">
        <v>211</v>
      </c>
      <c r="E142" s="224">
        <f t="shared" si="1"/>
        <v>10</v>
      </c>
      <c r="F142" s="19"/>
      <c r="G142" s="18"/>
      <c r="H142" s="18"/>
      <c r="I142" s="18"/>
      <c r="J142" s="18"/>
      <c r="K142" s="19"/>
      <c r="L142" s="18"/>
      <c r="M142" s="125"/>
      <c r="N142" s="18"/>
      <c r="O142" s="1"/>
      <c r="P142" s="3"/>
      <c r="Q142" s="4"/>
      <c r="R142" s="2"/>
      <c r="S142" s="1"/>
      <c r="T142" s="3"/>
      <c r="W142" s="1"/>
      <c r="X142" s="3"/>
      <c r="AE142" s="1"/>
    </row>
    <row r="143" ht="24" hidden="1" customHeight="1" spans="2:31">
      <c r="B143" s="225"/>
      <c r="C143" s="44"/>
      <c r="D143" s="45"/>
      <c r="E143" s="226"/>
      <c r="F143" s="44"/>
      <c r="G143" s="45"/>
      <c r="H143" s="45"/>
      <c r="I143" s="45"/>
      <c r="J143" s="45"/>
      <c r="K143" s="45"/>
      <c r="L143" s="45"/>
      <c r="M143" s="118"/>
      <c r="N143" s="18"/>
      <c r="O143" s="1"/>
      <c r="P143" s="3"/>
      <c r="Q143" s="4"/>
      <c r="R143" s="2"/>
      <c r="S143" s="1"/>
      <c r="T143" s="3"/>
      <c r="W143" s="1"/>
      <c r="X143" s="3"/>
      <c r="AE143" s="1"/>
    </row>
    <row r="144" ht="24" hidden="1" customHeight="1" spans="14:31">
      <c r="N144" s="18"/>
      <c r="O144" s="1"/>
      <c r="P144" s="3"/>
      <c r="Q144" s="4"/>
      <c r="R144" s="2"/>
      <c r="S144" s="1"/>
      <c r="T144" s="3"/>
      <c r="W144" s="1"/>
      <c r="X144" s="3"/>
      <c r="AE144" s="1"/>
    </row>
    <row r="145" ht="24" customHeight="1" spans="14:31">
      <c r="N145" s="18"/>
      <c r="O145" s="1"/>
      <c r="P145" s="3"/>
      <c r="Q145" s="4"/>
      <c r="R145" s="2"/>
      <c r="S145" s="1"/>
      <c r="T145" s="3"/>
      <c r="W145" s="1"/>
      <c r="X145" s="3"/>
      <c r="AE145" s="1"/>
    </row>
    <row r="146" spans="13:31">
      <c r="M146" s="18"/>
      <c r="N146" s="18"/>
      <c r="O146" s="1"/>
      <c r="P146" s="3"/>
      <c r="Q146" s="4"/>
      <c r="R146" s="2"/>
      <c r="S146" s="1"/>
      <c r="T146" s="3"/>
      <c r="W146" s="1"/>
      <c r="X146" s="3"/>
      <c r="AE146" s="1"/>
    </row>
    <row r="147" spans="13:35">
      <c r="M147" s="18"/>
      <c r="R147" s="1"/>
      <c r="S147" s="3"/>
      <c r="AE147" s="1"/>
      <c r="AI147" s="18"/>
    </row>
    <row r="148" spans="18:35">
      <c r="R148" s="1"/>
      <c r="S148" s="3"/>
      <c r="AE148" s="1"/>
      <c r="AI148" s="80"/>
    </row>
    <row r="149" spans="1:35">
      <c r="A149" s="189"/>
      <c r="R149" s="1"/>
      <c r="S149" s="3"/>
      <c r="AE149" s="1"/>
      <c r="AI149" s="80"/>
    </row>
    <row r="150" spans="18:35">
      <c r="R150" s="1"/>
      <c r="S150" s="3"/>
      <c r="AE150" s="1"/>
      <c r="AI150" s="80"/>
    </row>
    <row r="151" spans="18:35">
      <c r="R151" s="1"/>
      <c r="S151" s="3"/>
      <c r="AE151" s="1"/>
      <c r="AI151" s="18"/>
    </row>
    <row r="152" spans="18:31">
      <c r="R152" s="1"/>
      <c r="S152" s="3"/>
      <c r="AE152" s="1"/>
    </row>
    <row r="153" spans="18:31">
      <c r="R153" s="1"/>
      <c r="S153" s="3"/>
      <c r="AE153" s="1"/>
    </row>
    <row r="154" spans="18:31">
      <c r="R154" s="1"/>
      <c r="S154" s="3"/>
      <c r="AE154" s="1"/>
    </row>
    <row r="155" spans="18:31">
      <c r="R155" s="1"/>
      <c r="S155" s="3"/>
      <c r="AE155" s="1"/>
    </row>
    <row r="156" spans="18:31">
      <c r="R156" s="1"/>
      <c r="S156" s="3"/>
      <c r="AE156" s="1"/>
    </row>
    <row r="157" spans="18:31">
      <c r="R157" s="1"/>
      <c r="S157" s="3"/>
      <c r="AE157" s="1"/>
    </row>
    <row r="158" spans="18:31">
      <c r="R158" s="1"/>
      <c r="S158" s="3"/>
      <c r="AE158" s="1"/>
    </row>
    <row r="159" spans="18:31">
      <c r="R159" s="1"/>
      <c r="S159" s="3"/>
      <c r="AE159" s="1"/>
    </row>
    <row r="160" spans="18:31">
      <c r="R160" s="1"/>
      <c r="S160" s="3"/>
      <c r="AE160" s="1"/>
    </row>
    <row r="161" spans="18:31">
      <c r="R161" s="1"/>
      <c r="S161" s="3"/>
      <c r="AE161" s="1"/>
    </row>
    <row r="162" spans="18:31">
      <c r="R162" s="1"/>
      <c r="S162" s="3"/>
      <c r="AE162" s="1"/>
    </row>
    <row r="163" spans="18:31">
      <c r="R163" s="1"/>
      <c r="S163" s="3"/>
      <c r="AE163" s="1"/>
    </row>
    <row r="164" spans="18:31">
      <c r="R164" s="1"/>
      <c r="S164" s="3"/>
      <c r="AE164" s="1"/>
    </row>
    <row r="165" spans="18:31">
      <c r="R165" s="1"/>
      <c r="S165" s="3"/>
      <c r="AE165" s="1"/>
    </row>
    <row r="166" spans="18:31">
      <c r="R166" s="1"/>
      <c r="S166" s="3"/>
      <c r="AE166" s="1"/>
    </row>
    <row r="167" spans="18:31">
      <c r="R167" s="1"/>
      <c r="S167" s="3"/>
      <c r="AE167" s="1"/>
    </row>
    <row r="168" spans="18:31">
      <c r="R168" s="1"/>
      <c r="S168" s="3"/>
      <c r="AE168" s="1"/>
    </row>
    <row r="169" spans="18:31">
      <c r="R169" s="1"/>
      <c r="S169" s="3"/>
      <c r="AE169" s="1"/>
    </row>
    <row r="170" spans="18:31">
      <c r="R170" s="1"/>
      <c r="S170" s="3"/>
      <c r="AE170" s="1"/>
    </row>
    <row r="171" spans="18:31">
      <c r="R171" s="1"/>
      <c r="S171" s="3"/>
      <c r="AE171" s="1"/>
    </row>
    <row r="172" spans="18:31">
      <c r="R172" s="1"/>
      <c r="S172" s="3"/>
      <c r="AE172" s="1"/>
    </row>
    <row r="173" spans="18:31">
      <c r="R173" s="1"/>
      <c r="S173" s="3"/>
      <c r="AE173" s="1"/>
    </row>
    <row r="174" spans="18:31">
      <c r="R174" s="1"/>
      <c r="S174" s="3"/>
      <c r="AE174" s="1"/>
    </row>
    <row r="175" spans="18:31">
      <c r="R175" s="1"/>
      <c r="S175" s="3"/>
      <c r="AE175" s="1"/>
    </row>
    <row r="176" spans="18:31">
      <c r="R176" s="1"/>
      <c r="S176" s="3"/>
      <c r="AE176" s="1"/>
    </row>
    <row r="177" spans="18:31">
      <c r="R177" s="1"/>
      <c r="S177" s="3"/>
      <c r="AE177" s="1"/>
    </row>
    <row r="178" spans="18:31">
      <c r="R178" s="1"/>
      <c r="S178" s="3"/>
      <c r="AE178" s="1"/>
    </row>
    <row r="179" spans="18:31">
      <c r="R179" s="1"/>
      <c r="S179" s="3"/>
      <c r="AE179" s="1"/>
    </row>
    <row r="180" spans="18:31">
      <c r="R180" s="1"/>
      <c r="S180" s="3"/>
      <c r="AE180" s="1"/>
    </row>
    <row r="181" spans="18:31">
      <c r="R181" s="1"/>
      <c r="S181" s="3"/>
      <c r="AE181" s="1"/>
    </row>
    <row r="182" spans="18:31">
      <c r="R182" s="1"/>
      <c r="S182" s="3"/>
      <c r="AE182" s="1"/>
    </row>
    <row r="183" spans="18:31">
      <c r="R183" s="1"/>
      <c r="S183" s="3"/>
      <c r="AE183" s="1"/>
    </row>
    <row r="184" spans="18:31">
      <c r="R184" s="1"/>
      <c r="S184" s="3"/>
      <c r="AE184" s="1"/>
    </row>
    <row r="185" spans="18:31">
      <c r="R185" s="1"/>
      <c r="S185" s="3"/>
      <c r="AE185" s="1"/>
    </row>
    <row r="186" spans="18:31">
      <c r="R186" s="1"/>
      <c r="S186" s="3"/>
      <c r="AE186" s="1"/>
    </row>
    <row r="187" spans="18:31">
      <c r="R187" s="1"/>
      <c r="S187" s="3"/>
      <c r="AE187" s="1"/>
    </row>
    <row r="188" spans="18:31">
      <c r="R188" s="1"/>
      <c r="S188" s="3"/>
      <c r="AE188" s="1"/>
    </row>
    <row r="189" spans="18:31">
      <c r="R189" s="1"/>
      <c r="S189" s="3"/>
      <c r="AE189" s="1"/>
    </row>
    <row r="190" spans="18:31">
      <c r="R190" s="1"/>
      <c r="S190" s="3"/>
      <c r="AE190" s="1"/>
    </row>
    <row r="191" spans="18:31">
      <c r="R191" s="1"/>
      <c r="S191" s="3"/>
      <c r="AE191" s="1"/>
    </row>
    <row r="192" spans="18:31">
      <c r="R192" s="1"/>
      <c r="S192" s="3"/>
      <c r="AE192" s="1"/>
    </row>
    <row r="193" spans="18:31">
      <c r="R193" s="1"/>
      <c r="S193" s="3"/>
      <c r="AE193" s="1"/>
    </row>
    <row r="194" spans="18:31">
      <c r="R194" s="1"/>
      <c r="S194" s="3"/>
      <c r="AE194" s="1"/>
    </row>
    <row r="195" spans="18:31">
      <c r="R195" s="1"/>
      <c r="S195" s="3"/>
      <c r="AE195" s="1"/>
    </row>
    <row r="196" spans="18:31">
      <c r="R196" s="1"/>
      <c r="S196" s="3"/>
      <c r="AE196" s="1"/>
    </row>
    <row r="197" spans="18:31">
      <c r="R197" s="1"/>
      <c r="S197" s="3"/>
      <c r="AE197" s="1"/>
    </row>
    <row r="198" spans="18:31">
      <c r="R198" s="1"/>
      <c r="S198" s="3"/>
      <c r="AE198" s="1"/>
    </row>
    <row r="199" spans="18:31">
      <c r="R199" s="1"/>
      <c r="S199" s="3"/>
      <c r="AE199" s="1"/>
    </row>
    <row r="200" spans="18:31">
      <c r="R200" s="1"/>
      <c r="S200" s="3"/>
      <c r="AE200" s="1"/>
    </row>
    <row r="201" spans="18:31">
      <c r="R201" s="1"/>
      <c r="S201" s="3"/>
      <c r="AE201" s="1"/>
    </row>
    <row r="202" spans="18:31">
      <c r="R202" s="1"/>
      <c r="S202" s="3"/>
      <c r="AE202" s="1"/>
    </row>
    <row r="203" spans="18:31">
      <c r="R203" s="1"/>
      <c r="S203" s="3"/>
      <c r="AE203" s="1"/>
    </row>
    <row r="204" spans="18:31">
      <c r="R204" s="1"/>
      <c r="S204" s="3"/>
      <c r="AE204" s="1"/>
    </row>
    <row r="205" spans="18:31">
      <c r="R205" s="1"/>
      <c r="S205" s="3"/>
      <c r="AE205" s="1"/>
    </row>
    <row r="206" spans="18:31">
      <c r="R206" s="1"/>
      <c r="S206" s="3"/>
      <c r="AE206" s="1"/>
    </row>
    <row r="207" spans="18:31">
      <c r="R207" s="1"/>
      <c r="S207" s="3"/>
      <c r="AE207" s="1"/>
    </row>
    <row r="208" spans="18:31">
      <c r="R208" s="1"/>
      <c r="S208" s="3"/>
      <c r="AE208" s="1"/>
    </row>
    <row r="209" spans="18:31">
      <c r="R209" s="1"/>
      <c r="S209" s="3"/>
      <c r="AE209" s="1"/>
    </row>
    <row r="210" spans="18:31">
      <c r="R210" s="1"/>
      <c r="S210" s="3"/>
      <c r="AE210" s="1"/>
    </row>
    <row r="211" spans="18:31">
      <c r="R211" s="1"/>
      <c r="S211" s="3"/>
      <c r="AE211" s="1"/>
    </row>
    <row r="212" spans="18:31">
      <c r="R212" s="1"/>
      <c r="S212" s="3"/>
      <c r="AE212" s="1"/>
    </row>
    <row r="213" spans="18:31">
      <c r="R213" s="1"/>
      <c r="S213" s="3"/>
      <c r="AE213" s="1"/>
    </row>
    <row r="214" spans="18:31">
      <c r="R214" s="1"/>
      <c r="S214" s="3"/>
      <c r="AE214" s="1"/>
    </row>
    <row r="215" spans="18:31">
      <c r="R215" s="1"/>
      <c r="S215" s="3"/>
      <c r="AE215" s="1"/>
    </row>
    <row r="216" spans="18:31">
      <c r="R216" s="1"/>
      <c r="S216" s="3"/>
      <c r="AE216" s="1"/>
    </row>
    <row r="217" spans="18:31">
      <c r="R217" s="1"/>
      <c r="S217" s="3"/>
      <c r="AE217" s="1"/>
    </row>
    <row r="218" spans="18:31">
      <c r="R218" s="1"/>
      <c r="S218" s="3"/>
      <c r="AE218" s="1"/>
    </row>
    <row r="219" spans="18:31">
      <c r="R219" s="1"/>
      <c r="S219" s="3"/>
      <c r="AE219" s="1"/>
    </row>
    <row r="220" spans="18:31">
      <c r="R220" s="1"/>
      <c r="S220" s="3"/>
      <c r="AE220" s="1"/>
    </row>
    <row r="221" spans="18:31">
      <c r="R221" s="1"/>
      <c r="S221" s="3"/>
      <c r="AE221" s="1"/>
    </row>
    <row r="222" spans="18:31">
      <c r="R222" s="1"/>
      <c r="S222" s="3"/>
      <c r="AE222" s="1"/>
    </row>
    <row r="223" spans="18:31">
      <c r="R223" s="1"/>
      <c r="S223" s="3"/>
      <c r="AE223" s="1"/>
    </row>
    <row r="224" spans="18:31">
      <c r="R224" s="1"/>
      <c r="S224" s="3"/>
      <c r="AE224" s="1"/>
    </row>
    <row r="225" spans="18:31">
      <c r="R225" s="1"/>
      <c r="S225" s="3"/>
      <c r="AE225" s="1"/>
    </row>
    <row r="226" spans="18:31">
      <c r="R226" s="1"/>
      <c r="S226" s="3"/>
      <c r="AE226" s="1"/>
    </row>
    <row r="227" spans="18:31">
      <c r="R227" s="1"/>
      <c r="S227" s="3"/>
      <c r="AE227" s="1"/>
    </row>
    <row r="228" spans="18:31">
      <c r="R228" s="1"/>
      <c r="S228" s="3"/>
      <c r="W228" s="6"/>
      <c r="AE228" s="1"/>
    </row>
    <row r="229" spans="18:31">
      <c r="R229" s="1"/>
      <c r="S229" s="3"/>
      <c r="W229" s="6"/>
      <c r="AE229" s="1"/>
    </row>
    <row r="230" spans="18:31">
      <c r="R230" s="1"/>
      <c r="S230" s="3"/>
      <c r="W230" s="6"/>
      <c r="AE230" s="1"/>
    </row>
    <row r="231" spans="18:31">
      <c r="R231" s="1"/>
      <c r="S231" s="3"/>
      <c r="W231" s="6"/>
      <c r="AE231" s="1"/>
    </row>
    <row r="232" spans="18:31">
      <c r="R232" s="1"/>
      <c r="S232" s="3"/>
      <c r="W232" s="6"/>
      <c r="AE232" s="1"/>
    </row>
    <row r="233" spans="18:31">
      <c r="R233" s="1"/>
      <c r="S233" s="3"/>
      <c r="W233" s="6"/>
      <c r="AE233" s="1"/>
    </row>
    <row r="234" spans="18:31">
      <c r="R234" s="1"/>
      <c r="S234" s="3"/>
      <c r="W234" s="6"/>
      <c r="AE234" s="1"/>
    </row>
    <row r="235" spans="18:31">
      <c r="R235" s="1"/>
      <c r="S235" s="3"/>
      <c r="W235" s="6"/>
      <c r="AE235" s="1"/>
    </row>
    <row r="236" spans="18:31">
      <c r="R236" s="1"/>
      <c r="S236" s="3"/>
      <c r="W236" s="6"/>
      <c r="AE236" s="1"/>
    </row>
    <row r="237" spans="18:31">
      <c r="R237" s="1"/>
      <c r="S237" s="3"/>
      <c r="W237" s="6"/>
      <c r="AE237" s="1"/>
    </row>
    <row r="238" spans="18:31">
      <c r="R238" s="1"/>
      <c r="S238" s="3"/>
      <c r="W238" s="6"/>
      <c r="AE238" s="1"/>
    </row>
    <row r="239" spans="18:31">
      <c r="R239" s="1"/>
      <c r="S239" s="3"/>
      <c r="W239" s="6"/>
      <c r="AE239" s="1"/>
    </row>
    <row r="240" spans="16:31">
      <c r="P240" s="28"/>
      <c r="Q240" s="19"/>
      <c r="R240" s="1"/>
      <c r="S240" s="3"/>
      <c r="W240" s="6"/>
      <c r="AE240" s="1"/>
    </row>
    <row r="241" spans="16:31">
      <c r="P241" s="28"/>
      <c r="Q241" s="19"/>
      <c r="R241" s="1"/>
      <c r="S241" s="3"/>
      <c r="W241" s="6"/>
      <c r="AE241" s="1"/>
    </row>
    <row r="242" spans="16:31">
      <c r="P242" s="28"/>
      <c r="Q242" s="19"/>
      <c r="R242" s="1"/>
      <c r="S242" s="3"/>
      <c r="W242" s="6"/>
      <c r="AE242" s="1"/>
    </row>
    <row r="243" spans="16:31">
      <c r="P243" s="28"/>
      <c r="Q243" s="19"/>
      <c r="R243" s="1"/>
      <c r="S243" s="3"/>
      <c r="W243" s="6"/>
      <c r="AE243" s="1"/>
    </row>
    <row r="244" spans="16:31">
      <c r="P244" s="28"/>
      <c r="Q244" s="19"/>
      <c r="R244" s="1"/>
      <c r="S244" s="3"/>
      <c r="W244" s="6"/>
      <c r="AE244" s="1"/>
    </row>
    <row r="245" spans="16:31">
      <c r="P245" s="28"/>
      <c r="Q245" s="19"/>
      <c r="R245" s="1"/>
      <c r="S245" s="3"/>
      <c r="W245" s="6"/>
      <c r="AE245" s="1"/>
    </row>
    <row r="246" spans="16:31">
      <c r="P246" s="28"/>
      <c r="Q246" s="19"/>
      <c r="R246" s="1"/>
      <c r="S246" s="3"/>
      <c r="W246" s="6"/>
      <c r="AE246" s="1"/>
    </row>
    <row r="247" spans="16:31">
      <c r="P247" s="28"/>
      <c r="Q247" s="19"/>
      <c r="R247" s="1"/>
      <c r="S247" s="3"/>
      <c r="W247" s="6"/>
      <c r="AE247" s="1"/>
    </row>
    <row r="248" spans="16:31">
      <c r="P248" s="28"/>
      <c r="Q248" s="19"/>
      <c r="R248" s="1"/>
      <c r="S248" s="3"/>
      <c r="W248" s="6"/>
      <c r="AE248" s="1"/>
    </row>
    <row r="249" spans="16:31">
      <c r="P249" s="28"/>
      <c r="Q249" s="19"/>
      <c r="R249" s="1"/>
      <c r="S249" s="3"/>
      <c r="W249" s="6"/>
      <c r="AE249" s="1"/>
    </row>
    <row r="250" spans="16:31">
      <c r="P250" s="28"/>
      <c r="Q250" s="19"/>
      <c r="R250" s="1"/>
      <c r="S250" s="3"/>
      <c r="W250" s="6"/>
      <c r="AE250" s="1"/>
    </row>
    <row r="251" spans="16:31">
      <c r="P251" s="28"/>
      <c r="Q251" s="19"/>
      <c r="R251" s="1"/>
      <c r="S251" s="3"/>
      <c r="W251" s="6"/>
      <c r="AE251" s="1"/>
    </row>
    <row r="252" spans="16:31">
      <c r="P252" s="28"/>
      <c r="Q252" s="19"/>
      <c r="R252" s="1"/>
      <c r="S252" s="3"/>
      <c r="W252" s="6"/>
      <c r="AE252" s="1"/>
    </row>
    <row r="253" spans="16:31">
      <c r="P253" s="28"/>
      <c r="Q253" s="19"/>
      <c r="R253" s="1"/>
      <c r="S253" s="3"/>
      <c r="W253" s="6"/>
      <c r="AE253" s="1"/>
    </row>
    <row r="254" spans="16:31">
      <c r="P254" s="28"/>
      <c r="Q254" s="19"/>
      <c r="R254" s="1"/>
      <c r="S254" s="3"/>
      <c r="W254" s="6"/>
      <c r="AE254" s="1"/>
    </row>
    <row r="255" spans="16:31">
      <c r="P255" s="28"/>
      <c r="Q255" s="19"/>
      <c r="R255" s="1"/>
      <c r="S255" s="3"/>
      <c r="W255" s="6"/>
      <c r="AE255" s="1"/>
    </row>
    <row r="256" spans="16:31">
      <c r="P256" s="28"/>
      <c r="Q256" s="19"/>
      <c r="R256" s="1"/>
      <c r="S256" s="3"/>
      <c r="W256" s="6"/>
      <c r="AE256" s="1"/>
    </row>
    <row r="257" spans="16:31">
      <c r="P257" s="28"/>
      <c r="Q257" s="19"/>
      <c r="R257" s="1"/>
      <c r="S257" s="3"/>
      <c r="W257" s="6"/>
      <c r="AE257" s="1"/>
    </row>
    <row r="258" spans="16:31">
      <c r="P258" s="28"/>
      <c r="Q258" s="19"/>
      <c r="R258" s="1"/>
      <c r="S258" s="3"/>
      <c r="W258" s="6"/>
      <c r="AE258" s="1"/>
    </row>
    <row r="259" spans="16:31">
      <c r="P259" s="28"/>
      <c r="Q259" s="19"/>
      <c r="R259" s="1"/>
      <c r="S259" s="3"/>
      <c r="W259" s="6"/>
      <c r="AE259" s="1"/>
    </row>
    <row r="260" spans="16:31">
      <c r="P260" s="28"/>
      <c r="Q260" s="19"/>
      <c r="R260" s="1"/>
      <c r="S260" s="3"/>
      <c r="W260" s="6"/>
      <c r="AE260" s="1"/>
    </row>
    <row r="261" spans="16:31">
      <c r="P261" s="28"/>
      <c r="Q261" s="19"/>
      <c r="R261" s="1"/>
      <c r="S261" s="3"/>
      <c r="W261" s="6"/>
      <c r="AE261" s="1"/>
    </row>
    <row r="262" spans="16:31">
      <c r="P262" s="28"/>
      <c r="Q262" s="19"/>
      <c r="R262" s="1"/>
      <c r="S262" s="3"/>
      <c r="W262" s="6"/>
      <c r="AE262" s="1"/>
    </row>
    <row r="263" spans="16:31">
      <c r="P263" s="28"/>
      <c r="Q263" s="19"/>
      <c r="R263" s="1"/>
      <c r="S263" s="3"/>
      <c r="W263" s="6"/>
      <c r="AE263" s="1"/>
    </row>
    <row r="264" spans="16:31">
      <c r="P264" s="28"/>
      <c r="Q264" s="19"/>
      <c r="R264" s="1"/>
      <c r="S264" s="3"/>
      <c r="W264" s="6"/>
      <c r="AE264" s="1"/>
    </row>
    <row r="265" spans="16:31">
      <c r="P265" s="28"/>
      <c r="Q265" s="19"/>
      <c r="R265" s="1"/>
      <c r="S265" s="3"/>
      <c r="W265" s="6"/>
      <c r="AE265" s="1"/>
    </row>
    <row r="266" spans="16:31">
      <c r="P266" s="28"/>
      <c r="Q266" s="19"/>
      <c r="R266" s="1"/>
      <c r="S266" s="3"/>
      <c r="W266" s="6"/>
      <c r="AE266" s="1"/>
    </row>
    <row r="267" spans="16:31">
      <c r="P267" s="28"/>
      <c r="Q267" s="19"/>
      <c r="R267" s="1"/>
      <c r="S267" s="3"/>
      <c r="W267" s="6"/>
      <c r="AE267" s="1"/>
    </row>
    <row r="268" spans="16:31">
      <c r="P268" s="28"/>
      <c r="Q268" s="19"/>
      <c r="R268" s="1"/>
      <c r="S268" s="3"/>
      <c r="W268" s="6"/>
      <c r="AE268" s="1"/>
    </row>
    <row r="269" spans="16:31">
      <c r="P269" s="28"/>
      <c r="Q269" s="19"/>
      <c r="R269" s="1"/>
      <c r="S269" s="3"/>
      <c r="W269" s="6"/>
      <c r="AE269" s="1"/>
    </row>
    <row r="270" spans="16:31">
      <c r="P270" s="28"/>
      <c r="Q270" s="19"/>
      <c r="R270" s="1"/>
      <c r="S270" s="3"/>
      <c r="W270" s="6"/>
      <c r="AE270" s="1"/>
    </row>
    <row r="271" spans="16:31">
      <c r="P271" s="28"/>
      <c r="Q271" s="19"/>
      <c r="R271" s="1"/>
      <c r="S271" s="3"/>
      <c r="W271" s="6"/>
      <c r="AE271" s="1"/>
    </row>
    <row r="272" spans="16:31">
      <c r="P272" s="28"/>
      <c r="Q272" s="19"/>
      <c r="R272" s="1"/>
      <c r="S272" s="3"/>
      <c r="W272" s="6"/>
      <c r="AE272" s="1"/>
    </row>
    <row r="273" spans="16:31">
      <c r="P273" s="28"/>
      <c r="Q273" s="19"/>
      <c r="R273" s="1"/>
      <c r="S273" s="3"/>
      <c r="W273" s="6"/>
      <c r="AE273" s="1"/>
    </row>
    <row r="274" spans="16:31">
      <c r="P274" s="28"/>
      <c r="Q274" s="19"/>
      <c r="R274" s="1"/>
      <c r="S274" s="3"/>
      <c r="W274" s="6"/>
      <c r="AE274" s="1"/>
    </row>
    <row r="275" spans="16:31">
      <c r="P275" s="28"/>
      <c r="Q275" s="19"/>
      <c r="R275" s="1"/>
      <c r="S275" s="3"/>
      <c r="W275" s="6"/>
      <c r="AE275" s="1"/>
    </row>
    <row r="276" spans="16:31">
      <c r="P276" s="28"/>
      <c r="Q276" s="19"/>
      <c r="R276" s="1"/>
      <c r="S276" s="3"/>
      <c r="W276" s="6"/>
      <c r="AE276" s="1"/>
    </row>
    <row r="277" spans="16:31">
      <c r="P277" s="28"/>
      <c r="Q277" s="19"/>
      <c r="R277" s="1"/>
      <c r="S277" s="3"/>
      <c r="W277" s="6"/>
      <c r="AE277" s="1"/>
    </row>
    <row r="278" spans="16:31">
      <c r="P278" s="28"/>
      <c r="Q278" s="19"/>
      <c r="R278" s="1"/>
      <c r="S278" s="3"/>
      <c r="W278" s="6"/>
      <c r="AE278" s="1"/>
    </row>
    <row r="279" spans="16:31">
      <c r="P279" s="28"/>
      <c r="Q279" s="19"/>
      <c r="R279" s="1"/>
      <c r="S279" s="3"/>
      <c r="W279" s="6"/>
      <c r="AE279" s="1"/>
    </row>
    <row r="280" spans="16:31">
      <c r="P280" s="28"/>
      <c r="Q280" s="19"/>
      <c r="R280" s="1"/>
      <c r="S280" s="3"/>
      <c r="W280" s="6"/>
      <c r="AE280" s="1"/>
    </row>
    <row r="281" spans="16:31">
      <c r="P281" s="28"/>
      <c r="Q281" s="19"/>
      <c r="R281" s="1"/>
      <c r="S281" s="3"/>
      <c r="W281" s="6"/>
      <c r="AE281" s="1"/>
    </row>
    <row r="282" spans="16:31">
      <c r="P282" s="28"/>
      <c r="Q282" s="19"/>
      <c r="R282" s="1"/>
      <c r="S282" s="3"/>
      <c r="W282" s="6"/>
      <c r="AE282" s="1"/>
    </row>
    <row r="283" spans="16:31">
      <c r="P283" s="28"/>
      <c r="Q283" s="19"/>
      <c r="R283" s="1"/>
      <c r="S283" s="3"/>
      <c r="W283" s="6"/>
      <c r="AE283" s="1"/>
    </row>
    <row r="284" spans="16:31">
      <c r="P284" s="28"/>
      <c r="Q284" s="19"/>
      <c r="R284" s="1"/>
      <c r="S284" s="3"/>
      <c r="W284" s="6"/>
      <c r="AE284" s="1"/>
    </row>
    <row r="285" spans="16:31">
      <c r="P285" s="28"/>
      <c r="Q285" s="19"/>
      <c r="R285" s="1"/>
      <c r="S285" s="157"/>
      <c r="T285" s="18"/>
      <c r="U285" s="18"/>
      <c r="W285" s="6"/>
      <c r="AE285" s="1"/>
    </row>
    <row r="286" spans="16:31">
      <c r="P286" s="28"/>
      <c r="Q286" s="19"/>
      <c r="R286" s="1"/>
      <c r="S286" s="157"/>
      <c r="T286" s="18"/>
      <c r="U286" s="18"/>
      <c r="W286" s="6"/>
      <c r="AE286" s="1"/>
    </row>
    <row r="287" spans="16:31">
      <c r="P287" s="28"/>
      <c r="Q287" s="19"/>
      <c r="R287" s="1"/>
      <c r="S287" s="157"/>
      <c r="T287" s="18"/>
      <c r="U287" s="18"/>
      <c r="W287" s="6"/>
      <c r="AE287" s="1"/>
    </row>
    <row r="288" spans="16:31">
      <c r="P288" s="28"/>
      <c r="Q288" s="19"/>
      <c r="R288" s="1"/>
      <c r="S288" s="157"/>
      <c r="T288" s="18"/>
      <c r="U288" s="18"/>
      <c r="W288" s="6"/>
      <c r="AE288" s="1"/>
    </row>
    <row r="289" spans="16:31">
      <c r="P289" s="28"/>
      <c r="Q289" s="19"/>
      <c r="R289" s="1"/>
      <c r="S289" s="157"/>
      <c r="T289" s="18"/>
      <c r="U289" s="18"/>
      <c r="W289" s="6"/>
      <c r="AE289" s="1"/>
    </row>
    <row r="290" spans="16:31">
      <c r="P290" s="28"/>
      <c r="Q290" s="19"/>
      <c r="R290" s="1"/>
      <c r="S290" s="157"/>
      <c r="T290" s="18"/>
      <c r="U290" s="18"/>
      <c r="W290" s="6"/>
      <c r="AE290" s="1"/>
    </row>
    <row r="291" spans="16:31">
      <c r="P291" s="28"/>
      <c r="Q291" s="19"/>
      <c r="R291" s="1"/>
      <c r="S291" s="157"/>
      <c r="T291" s="18"/>
      <c r="U291" s="18"/>
      <c r="W291" s="6"/>
      <c r="AE291" s="1"/>
    </row>
    <row r="292" spans="16:31">
      <c r="P292" s="28"/>
      <c r="Q292" s="19"/>
      <c r="R292" s="1"/>
      <c r="S292" s="157"/>
      <c r="T292" s="80"/>
      <c r="U292" s="56"/>
      <c r="W292" s="6"/>
      <c r="AE292" s="1"/>
    </row>
    <row r="293" spans="16:31">
      <c r="P293" s="28"/>
      <c r="Q293" s="19"/>
      <c r="R293" s="1"/>
      <c r="S293" s="157"/>
      <c r="T293" s="80"/>
      <c r="U293" s="56"/>
      <c r="W293" s="6"/>
      <c r="AE293" s="1"/>
    </row>
    <row r="294" spans="16:31">
      <c r="P294" s="28"/>
      <c r="Q294" s="19"/>
      <c r="R294" s="1"/>
      <c r="S294" s="157"/>
      <c r="T294" s="80"/>
      <c r="U294" s="80"/>
      <c r="W294" s="6"/>
      <c r="AE294" s="1"/>
    </row>
    <row r="295" spans="16:31">
      <c r="P295" s="28"/>
      <c r="Q295" s="19"/>
      <c r="R295" s="1"/>
      <c r="S295" s="157"/>
      <c r="T295" s="80"/>
      <c r="U295" s="80"/>
      <c r="W295" s="6"/>
      <c r="AE295" s="1"/>
    </row>
    <row r="296" spans="16:31">
      <c r="P296" s="28"/>
      <c r="Q296" s="19"/>
      <c r="R296" s="1"/>
      <c r="S296" s="157"/>
      <c r="T296" s="80"/>
      <c r="U296" s="80"/>
      <c r="W296" s="6"/>
      <c r="AE296" s="1"/>
    </row>
    <row r="297" spans="16:31">
      <c r="P297" s="28"/>
      <c r="Q297" s="19"/>
      <c r="R297" s="1"/>
      <c r="S297" s="157"/>
      <c r="T297" s="80"/>
      <c r="U297" s="80"/>
      <c r="W297" s="6"/>
      <c r="AE297" s="1"/>
    </row>
    <row r="298" spans="16:31">
      <c r="P298" s="28"/>
      <c r="Q298" s="19"/>
      <c r="R298" s="1"/>
      <c r="S298" s="157"/>
      <c r="T298" s="80"/>
      <c r="U298" s="80"/>
      <c r="W298" s="6"/>
      <c r="AE298" s="1"/>
    </row>
    <row r="299" spans="16:31">
      <c r="P299" s="28"/>
      <c r="Q299" s="19"/>
      <c r="R299" s="1"/>
      <c r="S299" s="157"/>
      <c r="T299" s="80"/>
      <c r="U299" s="80"/>
      <c r="W299" s="6"/>
      <c r="AE299" s="1"/>
    </row>
    <row r="300" spans="16:31">
      <c r="P300" s="28"/>
      <c r="Q300" s="19"/>
      <c r="R300" s="1"/>
      <c r="S300" s="157"/>
      <c r="T300" s="80"/>
      <c r="U300" s="80"/>
      <c r="W300" s="6"/>
      <c r="AE300" s="1"/>
    </row>
    <row r="301" spans="16:31">
      <c r="P301" s="28"/>
      <c r="Q301" s="19"/>
      <c r="R301" s="1"/>
      <c r="S301" s="157"/>
      <c r="T301" s="80"/>
      <c r="U301" s="80"/>
      <c r="W301" s="200"/>
      <c r="X301" s="18"/>
      <c r="Y301" s="18"/>
      <c r="AE301" s="1"/>
    </row>
    <row r="302" spans="16:31">
      <c r="P302" s="28"/>
      <c r="Q302" s="19"/>
      <c r="R302" s="1"/>
      <c r="S302" s="157"/>
      <c r="T302" s="80"/>
      <c r="U302" s="80"/>
      <c r="W302" s="200"/>
      <c r="X302" s="18"/>
      <c r="Y302" s="18"/>
      <c r="AE302" s="1"/>
    </row>
    <row r="303" spans="16:31">
      <c r="P303" s="28"/>
      <c r="Q303" s="19"/>
      <c r="R303" s="1"/>
      <c r="S303" s="157"/>
      <c r="T303" s="80"/>
      <c r="U303" s="80"/>
      <c r="W303" s="200"/>
      <c r="X303" s="18"/>
      <c r="Y303" s="18"/>
      <c r="AE303" s="1"/>
    </row>
    <row r="304" spans="16:31">
      <c r="P304" s="28"/>
      <c r="Q304" s="19"/>
      <c r="R304" s="1"/>
      <c r="S304" s="157"/>
      <c r="T304" s="80"/>
      <c r="U304" s="80"/>
      <c r="W304" s="200"/>
      <c r="X304" s="18"/>
      <c r="Y304" s="18"/>
      <c r="AE304" s="1"/>
    </row>
    <row r="305" spans="16:31">
      <c r="P305" s="28"/>
      <c r="Q305" s="19"/>
      <c r="R305" s="1"/>
      <c r="S305" s="157"/>
      <c r="T305" s="80"/>
      <c r="U305" s="68"/>
      <c r="W305" s="200"/>
      <c r="X305" s="18"/>
      <c r="Y305" s="18"/>
      <c r="AE305" s="1"/>
    </row>
    <row r="306" spans="16:31">
      <c r="P306" s="28"/>
      <c r="Q306" s="19"/>
      <c r="R306" s="1"/>
      <c r="S306" s="157"/>
      <c r="T306" s="80"/>
      <c r="U306" s="68"/>
      <c r="W306" s="200"/>
      <c r="X306" s="18"/>
      <c r="Y306" s="18"/>
      <c r="AE306" s="1"/>
    </row>
    <row r="307" spans="16:31">
      <c r="P307" s="28"/>
      <c r="Q307" s="19"/>
      <c r="R307" s="1"/>
      <c r="S307" s="157"/>
      <c r="T307" s="80"/>
      <c r="U307" s="80"/>
      <c r="W307" s="200"/>
      <c r="X307" s="18"/>
      <c r="Y307" s="18"/>
      <c r="AE307" s="1"/>
    </row>
    <row r="308" spans="16:31">
      <c r="P308" s="28"/>
      <c r="Q308" s="19"/>
      <c r="R308" s="1"/>
      <c r="S308" s="157"/>
      <c r="T308" s="80"/>
      <c r="U308" s="56"/>
      <c r="W308" s="200"/>
      <c r="X308" s="80"/>
      <c r="Y308" s="80"/>
      <c r="AE308" s="1"/>
    </row>
    <row r="309" spans="16:31">
      <c r="P309" s="28"/>
      <c r="Q309" s="19"/>
      <c r="R309" s="1"/>
      <c r="S309" s="157"/>
      <c r="T309" s="80"/>
      <c r="U309" s="80"/>
      <c r="W309" s="200"/>
      <c r="X309" s="80"/>
      <c r="Y309" s="80"/>
      <c r="AE309" s="1"/>
    </row>
    <row r="310" spans="16:31">
      <c r="P310" s="28"/>
      <c r="Q310" s="19"/>
      <c r="R310" s="1"/>
      <c r="S310" s="157"/>
      <c r="T310" s="80"/>
      <c r="U310" s="80"/>
      <c r="W310" s="200"/>
      <c r="X310" s="80"/>
      <c r="Y310" s="80"/>
      <c r="AE310" s="1"/>
    </row>
    <row r="311" spans="16:31">
      <c r="P311" s="28"/>
      <c r="Q311" s="19"/>
      <c r="R311" s="1"/>
      <c r="S311" s="157"/>
      <c r="T311" s="80"/>
      <c r="U311" s="80"/>
      <c r="W311" s="200"/>
      <c r="X311" s="80"/>
      <c r="Y311" s="80"/>
      <c r="AE311" s="1"/>
    </row>
    <row r="312" spans="16:31">
      <c r="P312" s="28"/>
      <c r="Q312" s="19"/>
      <c r="R312" s="1"/>
      <c r="S312" s="234"/>
      <c r="T312" s="80"/>
      <c r="U312" s="80"/>
      <c r="W312" s="200"/>
      <c r="X312" s="80"/>
      <c r="Y312" s="80"/>
      <c r="AE312" s="1"/>
    </row>
    <row r="313" spans="16:31">
      <c r="P313" s="28"/>
      <c r="Q313" s="19"/>
      <c r="R313" s="1"/>
      <c r="S313" s="234"/>
      <c r="T313" s="80"/>
      <c r="U313" s="80"/>
      <c r="W313" s="200"/>
      <c r="X313" s="80"/>
      <c r="Y313" s="80"/>
      <c r="AE313" s="1"/>
    </row>
    <row r="314" spans="16:31">
      <c r="P314" s="28"/>
      <c r="Q314" s="19"/>
      <c r="R314" s="1"/>
      <c r="S314" s="200"/>
      <c r="T314" s="18"/>
      <c r="U314" s="18"/>
      <c r="W314" s="200"/>
      <c r="X314" s="80"/>
      <c r="Y314" s="80"/>
      <c r="AE314" s="1"/>
    </row>
    <row r="315" spans="16:31">
      <c r="P315" s="28"/>
      <c r="Q315" s="19"/>
      <c r="R315" s="1"/>
      <c r="S315" s="200"/>
      <c r="T315" s="18"/>
      <c r="U315" s="18"/>
      <c r="W315" s="200"/>
      <c r="X315" s="80"/>
      <c r="Y315" s="80"/>
      <c r="AE315" s="1"/>
    </row>
    <row r="316" spans="16:31">
      <c r="P316" s="28"/>
      <c r="Q316" s="19"/>
      <c r="R316" s="1"/>
      <c r="S316" s="200"/>
      <c r="T316" s="18"/>
      <c r="U316" s="18"/>
      <c r="W316" s="200"/>
      <c r="X316" s="80"/>
      <c r="Y316" s="80"/>
      <c r="AE316" s="1"/>
    </row>
    <row r="317" spans="16:31">
      <c r="P317" s="28"/>
      <c r="Q317" s="19"/>
      <c r="R317" s="1"/>
      <c r="S317" s="200"/>
      <c r="T317" s="18"/>
      <c r="U317" s="18"/>
      <c r="V317" s="18"/>
      <c r="W317" s="200"/>
      <c r="X317" s="80"/>
      <c r="Y317" s="80"/>
      <c r="AE317" s="1"/>
    </row>
    <row r="318" spans="16:49">
      <c r="P318" s="28"/>
      <c r="Q318" s="19"/>
      <c r="R318" s="1"/>
      <c r="S318" s="200"/>
      <c r="T318" s="18"/>
      <c r="U318" s="18"/>
      <c r="V318" s="18"/>
      <c r="W318" s="200"/>
      <c r="X318" s="80"/>
      <c r="Y318" s="80"/>
      <c r="Z318" s="18"/>
      <c r="AA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row>
    <row r="319" spans="16:49">
      <c r="P319" s="28"/>
      <c r="Q319" s="19"/>
      <c r="R319" s="1"/>
      <c r="S319" s="200"/>
      <c r="T319" s="18"/>
      <c r="U319" s="18"/>
      <c r="V319" s="18"/>
      <c r="W319" s="200"/>
      <c r="X319" s="80"/>
      <c r="Y319" s="80"/>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row>
    <row r="320" spans="16:49">
      <c r="P320" s="28"/>
      <c r="Q320" s="19"/>
      <c r="R320" s="1"/>
      <c r="S320" s="200"/>
      <c r="T320" s="18"/>
      <c r="U320" s="18"/>
      <c r="V320" s="18"/>
      <c r="W320" s="200"/>
      <c r="X320" s="80"/>
      <c r="Y320" s="80"/>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row>
    <row r="321" spans="16:49">
      <c r="P321" s="28"/>
      <c r="Q321" s="19"/>
      <c r="R321" s="1"/>
      <c r="S321" s="200"/>
      <c r="T321" s="18"/>
      <c r="U321" s="18"/>
      <c r="V321" s="18"/>
      <c r="W321" s="200"/>
      <c r="X321" s="80"/>
      <c r="Y321" s="80"/>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row>
    <row r="322" spans="16:49">
      <c r="P322" s="28"/>
      <c r="Q322" s="19"/>
      <c r="R322" s="194"/>
      <c r="S322" s="200"/>
      <c r="T322" s="18"/>
      <c r="U322" s="18"/>
      <c r="V322" s="18"/>
      <c r="W322" s="200"/>
      <c r="X322" s="80"/>
      <c r="Y322" s="80"/>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row>
    <row r="323" spans="16:49">
      <c r="P323" s="28"/>
      <c r="Q323" s="19"/>
      <c r="R323" s="194"/>
      <c r="S323" s="200"/>
      <c r="T323" s="18"/>
      <c r="U323" s="18"/>
      <c r="V323" s="18"/>
      <c r="W323" s="200"/>
      <c r="X323" s="80"/>
      <c r="Y323" s="80"/>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row>
    <row r="324" spans="16:49">
      <c r="P324" s="28"/>
      <c r="Q324" s="19"/>
      <c r="R324" s="194"/>
      <c r="S324" s="200"/>
      <c r="T324" s="18"/>
      <c r="U324" s="18"/>
      <c r="V324" s="80"/>
      <c r="W324" s="200"/>
      <c r="X324" s="80"/>
      <c r="Y324" s="80"/>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row>
    <row r="325" spans="16:49">
      <c r="P325" s="28"/>
      <c r="Q325" s="19"/>
      <c r="R325" s="194"/>
      <c r="S325" s="200"/>
      <c r="T325" s="18"/>
      <c r="U325" s="18"/>
      <c r="V325" s="80"/>
      <c r="W325" s="200"/>
      <c r="X325" s="80"/>
      <c r="Y325" s="80"/>
      <c r="Z325" s="80"/>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row>
    <row r="326" spans="16:49">
      <c r="P326" s="28"/>
      <c r="Q326" s="19"/>
      <c r="R326" s="194"/>
      <c r="S326" s="200"/>
      <c r="T326" s="18"/>
      <c r="U326" s="18"/>
      <c r="V326" s="80"/>
      <c r="W326" s="200"/>
      <c r="X326" s="80"/>
      <c r="Y326" s="80"/>
      <c r="Z326" s="80"/>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row>
    <row r="327" spans="16:49">
      <c r="P327" s="28"/>
      <c r="Q327" s="19"/>
      <c r="R327" s="194"/>
      <c r="S327" s="200"/>
      <c r="T327" s="18"/>
      <c r="U327" s="18"/>
      <c r="V327" s="80"/>
      <c r="W327" s="200"/>
      <c r="X327" s="80"/>
      <c r="Y327" s="80"/>
      <c r="Z327" s="80"/>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row>
    <row r="328" spans="16:49">
      <c r="P328" s="28"/>
      <c r="Q328" s="19"/>
      <c r="R328" s="194"/>
      <c r="S328" s="200"/>
      <c r="T328" s="18"/>
      <c r="U328" s="18"/>
      <c r="V328" s="80"/>
      <c r="W328" s="200"/>
      <c r="X328" s="80"/>
      <c r="Y328" s="80"/>
      <c r="Z328" s="80"/>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row>
    <row r="329" spans="16:49">
      <c r="P329" s="28"/>
      <c r="Q329" s="19"/>
      <c r="R329" s="194"/>
      <c r="S329" s="200"/>
      <c r="T329" s="18"/>
      <c r="U329" s="18"/>
      <c r="V329" s="80"/>
      <c r="W329" s="200"/>
      <c r="X329" s="80"/>
      <c r="Y329" s="80"/>
      <c r="Z329" s="80"/>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row>
    <row r="330" spans="16:49">
      <c r="P330" s="28"/>
      <c r="Q330" s="19"/>
      <c r="R330" s="194"/>
      <c r="S330" s="200"/>
      <c r="T330" s="18"/>
      <c r="U330" s="18"/>
      <c r="V330" s="80"/>
      <c r="W330" s="157"/>
      <c r="X330" s="18"/>
      <c r="Y330" s="80"/>
      <c r="Z330" s="80"/>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row>
    <row r="331" spans="16:49">
      <c r="P331" s="28"/>
      <c r="Q331" s="19"/>
      <c r="R331" s="194"/>
      <c r="S331" s="200"/>
      <c r="T331" s="18"/>
      <c r="U331" s="18"/>
      <c r="V331" s="80"/>
      <c r="W331" s="157"/>
      <c r="X331" s="18"/>
      <c r="Y331" s="80"/>
      <c r="Z331" s="80"/>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row>
    <row r="332" spans="16:49">
      <c r="P332" s="28"/>
      <c r="Q332" s="19"/>
      <c r="R332" s="194"/>
      <c r="S332" s="200"/>
      <c r="T332" s="18"/>
      <c r="U332" s="18"/>
      <c r="V332" s="80"/>
      <c r="W332" s="157"/>
      <c r="X332" s="18"/>
      <c r="Y332" s="80"/>
      <c r="Z332" s="80"/>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row>
    <row r="333" spans="16:49">
      <c r="P333" s="28"/>
      <c r="Q333" s="19"/>
      <c r="R333" s="194"/>
      <c r="S333" s="200"/>
      <c r="T333" s="18"/>
      <c r="U333" s="18"/>
      <c r="V333" s="80"/>
      <c r="W333" s="157"/>
      <c r="X333" s="18"/>
      <c r="Y333" s="80"/>
      <c r="Z333" s="80"/>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row>
    <row r="334" spans="16:49">
      <c r="P334" s="28"/>
      <c r="Q334" s="19"/>
      <c r="R334" s="194"/>
      <c r="S334" s="200"/>
      <c r="T334" s="18"/>
      <c r="U334" s="18"/>
      <c r="V334" s="80"/>
      <c r="W334" s="157"/>
      <c r="X334" s="18"/>
      <c r="Y334" s="80"/>
      <c r="Z334" s="80"/>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row>
    <row r="335" spans="16:49">
      <c r="P335" s="28"/>
      <c r="Q335" s="19"/>
      <c r="R335" s="194"/>
      <c r="S335" s="200"/>
      <c r="T335" s="18"/>
      <c r="U335" s="18"/>
      <c r="V335" s="80"/>
      <c r="W335" s="157"/>
      <c r="X335" s="18"/>
      <c r="Y335" s="80"/>
      <c r="Z335" s="80"/>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row>
    <row r="336" spans="4:49">
      <c r="D336" s="2"/>
      <c r="P336" s="28"/>
      <c r="Q336" s="19"/>
      <c r="R336" s="194"/>
      <c r="S336" s="200"/>
      <c r="T336" s="18"/>
      <c r="U336" s="18"/>
      <c r="V336" s="80"/>
      <c r="W336" s="157"/>
      <c r="X336" s="18"/>
      <c r="Y336" s="80"/>
      <c r="Z336" s="80"/>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row>
    <row r="337" spans="11:49">
      <c r="K337" s="2"/>
      <c r="P337" s="28"/>
      <c r="Q337" s="19"/>
      <c r="R337" s="194"/>
      <c r="S337" s="200"/>
      <c r="T337" s="18"/>
      <c r="U337" s="18"/>
      <c r="V337" s="80"/>
      <c r="W337" s="157"/>
      <c r="X337" s="18"/>
      <c r="Y337" s="80"/>
      <c r="Z337" s="80"/>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row>
    <row r="338" spans="16:49">
      <c r="P338" s="28"/>
      <c r="Q338" s="19"/>
      <c r="R338" s="194"/>
      <c r="S338" s="200"/>
      <c r="T338" s="18"/>
      <c r="U338" s="18"/>
      <c r="V338" s="80"/>
      <c r="W338" s="157"/>
      <c r="X338" s="18"/>
      <c r="Y338" s="80"/>
      <c r="Z338" s="80"/>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row>
    <row r="339" spans="16:49">
      <c r="P339" s="28"/>
      <c r="Q339" s="19"/>
      <c r="R339" s="194"/>
      <c r="S339" s="200"/>
      <c r="T339" s="18"/>
      <c r="U339" s="18"/>
      <c r="V339" s="80"/>
      <c r="W339" s="157"/>
      <c r="X339" s="18"/>
      <c r="Y339" s="80"/>
      <c r="Z339" s="80"/>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row>
    <row r="340" spans="18:49">
      <c r="R340" s="194"/>
      <c r="S340" s="200"/>
      <c r="T340" s="18"/>
      <c r="U340" s="18"/>
      <c r="V340" s="80"/>
      <c r="W340" s="157"/>
      <c r="X340" s="18"/>
      <c r="Y340" s="80"/>
      <c r="Z340" s="80"/>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row>
    <row r="341" spans="18:49">
      <c r="R341" s="194"/>
      <c r="S341" s="200"/>
      <c r="T341" s="18"/>
      <c r="U341" s="18"/>
      <c r="V341" s="80"/>
      <c r="W341" s="157"/>
      <c r="X341" s="18"/>
      <c r="Y341" s="80"/>
      <c r="Z341" s="80"/>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row>
    <row r="342" spans="18:49">
      <c r="R342" s="194"/>
      <c r="S342" s="200"/>
      <c r="T342" s="18"/>
      <c r="U342" s="18"/>
      <c r="V342" s="80"/>
      <c r="W342" s="157"/>
      <c r="X342" s="18"/>
      <c r="Y342" s="80"/>
      <c r="Z342" s="80"/>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row>
    <row r="343" spans="18:49">
      <c r="R343" s="194"/>
      <c r="S343" s="200"/>
      <c r="T343" s="18"/>
      <c r="U343" s="18"/>
      <c r="V343" s="80"/>
      <c r="W343" s="157"/>
      <c r="X343" s="18"/>
      <c r="Y343" s="80"/>
      <c r="Z343" s="56"/>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row>
    <row r="344" spans="18:49">
      <c r="R344" s="194"/>
      <c r="S344" s="200"/>
      <c r="T344" s="18"/>
      <c r="U344" s="18"/>
      <c r="V344" s="80"/>
      <c r="W344" s="157"/>
      <c r="X344" s="18"/>
      <c r="Y344" s="80"/>
      <c r="Z344" s="56"/>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row>
    <row r="345" spans="18:49">
      <c r="R345" s="194"/>
      <c r="S345" s="200"/>
      <c r="T345" s="18"/>
      <c r="U345" s="18"/>
      <c r="V345" s="80"/>
      <c r="W345" s="157"/>
      <c r="X345" s="18"/>
      <c r="Y345" s="80"/>
      <c r="Z345" s="56"/>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row>
    <row r="346" spans="18:49">
      <c r="R346" s="194"/>
      <c r="S346" s="200"/>
      <c r="T346" s="18"/>
      <c r="U346" s="18"/>
      <c r="V346" s="18"/>
      <c r="W346" s="157"/>
      <c r="X346" s="18"/>
      <c r="Y346" s="80"/>
      <c r="Z346" s="80"/>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row>
    <row r="347" spans="18:58">
      <c r="R347" s="194"/>
      <c r="S347" s="200"/>
      <c r="T347" s="18"/>
      <c r="U347" s="18"/>
      <c r="V347" s="18"/>
      <c r="W347" s="157"/>
      <c r="X347" s="18"/>
      <c r="Y347" s="80"/>
      <c r="Z347" s="235"/>
      <c r="AA347" s="80"/>
      <c r="AB347" s="18"/>
      <c r="AC347" s="80"/>
      <c r="AD347" s="80"/>
      <c r="AE347" s="26"/>
      <c r="AF347" s="80"/>
      <c r="AG347" s="80"/>
      <c r="AH347" s="80"/>
      <c r="AI347" s="80"/>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row>
    <row r="348" spans="18:58">
      <c r="R348" s="194"/>
      <c r="S348" s="200"/>
      <c r="T348" s="18"/>
      <c r="U348" s="18"/>
      <c r="V348" s="18"/>
      <c r="W348" s="157"/>
      <c r="X348" s="18"/>
      <c r="Y348" s="80"/>
      <c r="Z348" s="235"/>
      <c r="AA348" s="80"/>
      <c r="AB348" s="80"/>
      <c r="AC348" s="80"/>
      <c r="AD348" s="80"/>
      <c r="AE348" s="26"/>
      <c r="AF348" s="80"/>
      <c r="AG348" s="80"/>
      <c r="AH348" s="80"/>
      <c r="AI348" s="56"/>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row>
    <row r="349" spans="18:58">
      <c r="R349" s="194"/>
      <c r="S349" s="200"/>
      <c r="T349" s="18"/>
      <c r="U349" s="18"/>
      <c r="V349" s="18"/>
      <c r="W349" s="157"/>
      <c r="X349" s="18"/>
      <c r="Y349" s="80"/>
      <c r="Z349" s="235"/>
      <c r="AA349" s="80"/>
      <c r="AB349" s="80"/>
      <c r="AC349" s="80"/>
      <c r="AD349" s="80"/>
      <c r="AE349" s="26"/>
      <c r="AF349" s="80"/>
      <c r="AG349" s="80"/>
      <c r="AH349" s="80"/>
      <c r="AI349" s="80"/>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row>
    <row r="350" spans="18:58">
      <c r="R350" s="194"/>
      <c r="S350" s="200"/>
      <c r="T350" s="18"/>
      <c r="U350" s="18"/>
      <c r="V350" s="18"/>
      <c r="W350" s="157"/>
      <c r="X350" s="18"/>
      <c r="Y350" s="80"/>
      <c r="Z350" s="80"/>
      <c r="AA350" s="80"/>
      <c r="AB350" s="80"/>
      <c r="AC350" s="80"/>
      <c r="AD350" s="80"/>
      <c r="AE350" s="26"/>
      <c r="AF350" s="80"/>
      <c r="AG350" s="80"/>
      <c r="AH350" s="80"/>
      <c r="AI350" s="56"/>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row>
    <row r="351" spans="18:58">
      <c r="R351" s="194"/>
      <c r="S351" s="200"/>
      <c r="T351" s="18"/>
      <c r="U351" s="18"/>
      <c r="V351" s="18"/>
      <c r="W351" s="157"/>
      <c r="X351" s="18"/>
      <c r="Y351" s="80"/>
      <c r="Z351" s="80"/>
      <c r="AA351" s="80"/>
      <c r="AB351" s="80"/>
      <c r="AC351" s="80"/>
      <c r="AD351" s="80"/>
      <c r="AE351" s="26"/>
      <c r="AF351" s="80"/>
      <c r="AG351" s="80"/>
      <c r="AH351" s="80"/>
      <c r="AI351" s="80"/>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row>
    <row r="352" spans="18:58">
      <c r="R352" s="194"/>
      <c r="S352" s="200"/>
      <c r="T352" s="18"/>
      <c r="U352" s="18"/>
      <c r="V352" s="18"/>
      <c r="W352" s="157"/>
      <c r="X352" s="18"/>
      <c r="Y352" s="80"/>
      <c r="Z352" s="80"/>
      <c r="AA352" s="80"/>
      <c r="AB352" s="80"/>
      <c r="AC352" s="80"/>
      <c r="AD352" s="80"/>
      <c r="AE352" s="26"/>
      <c r="AF352" s="80"/>
      <c r="AG352" s="80"/>
      <c r="AH352" s="80"/>
      <c r="AI352" s="80"/>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row>
    <row r="353" spans="18:58">
      <c r="R353" s="194"/>
      <c r="S353" s="200"/>
      <c r="T353" s="18"/>
      <c r="U353" s="18"/>
      <c r="V353" s="18"/>
      <c r="W353" s="157"/>
      <c r="X353" s="18"/>
      <c r="Y353" s="80"/>
      <c r="Z353" s="80"/>
      <c r="AA353" s="80"/>
      <c r="AB353" s="80"/>
      <c r="AC353" s="80"/>
      <c r="AD353" s="80"/>
      <c r="AE353" s="26"/>
      <c r="AF353" s="80"/>
      <c r="AG353" s="80"/>
      <c r="AH353" s="80"/>
      <c r="AI353" s="80"/>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row>
    <row r="354" spans="18:58">
      <c r="R354" s="194"/>
      <c r="S354" s="200"/>
      <c r="T354" s="18"/>
      <c r="U354" s="18"/>
      <c r="V354" s="18"/>
      <c r="W354" s="157"/>
      <c r="X354" s="18"/>
      <c r="Y354" s="80"/>
      <c r="Z354" s="80"/>
      <c r="AA354" s="80"/>
      <c r="AB354" s="80"/>
      <c r="AC354" s="80"/>
      <c r="AD354" s="80"/>
      <c r="AE354" s="26"/>
      <c r="AF354" s="80"/>
      <c r="AG354" s="80"/>
      <c r="AH354" s="80"/>
      <c r="AI354" s="80"/>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row>
    <row r="355" spans="18:58">
      <c r="R355" s="194"/>
      <c r="S355" s="200"/>
      <c r="T355" s="18"/>
      <c r="U355" s="18"/>
      <c r="V355" s="18"/>
      <c r="W355" s="157"/>
      <c r="X355" s="18"/>
      <c r="Y355" s="80"/>
      <c r="Z355" s="80"/>
      <c r="AA355" s="80"/>
      <c r="AB355" s="80"/>
      <c r="AC355" s="80"/>
      <c r="AD355" s="56"/>
      <c r="AE355" s="26"/>
      <c r="AF355" s="80"/>
      <c r="AG355" s="80"/>
      <c r="AH355" s="80"/>
      <c r="AI355" s="80"/>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row>
    <row r="356" spans="18:58">
      <c r="R356" s="194"/>
      <c r="S356" s="200"/>
      <c r="T356" s="18"/>
      <c r="U356" s="18"/>
      <c r="V356" s="18"/>
      <c r="W356" s="157"/>
      <c r="X356" s="18"/>
      <c r="Y356" s="80"/>
      <c r="Z356" s="80"/>
      <c r="AA356" s="80"/>
      <c r="AB356" s="80"/>
      <c r="AC356" s="80"/>
      <c r="AD356" s="80"/>
      <c r="AE356" s="26"/>
      <c r="AF356" s="80"/>
      <c r="AG356" s="80"/>
      <c r="AH356" s="80"/>
      <c r="AI356" s="80"/>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row>
    <row r="357" spans="18:58">
      <c r="R357" s="194"/>
      <c r="S357" s="200"/>
      <c r="T357" s="18"/>
      <c r="U357" s="18"/>
      <c r="V357" s="18"/>
      <c r="W357" s="157"/>
      <c r="X357" s="18"/>
      <c r="Y357" s="80"/>
      <c r="Z357" s="80"/>
      <c r="AA357" s="80"/>
      <c r="AB357" s="80"/>
      <c r="AC357" s="80"/>
      <c r="AD357" s="80"/>
      <c r="AE357" s="26"/>
      <c r="AF357" s="80"/>
      <c r="AG357" s="80"/>
      <c r="AH357" s="80"/>
      <c r="AI357" s="80"/>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row>
    <row r="358" spans="18:58">
      <c r="R358" s="194"/>
      <c r="S358" s="200"/>
      <c r="T358" s="18"/>
      <c r="U358" s="18"/>
      <c r="V358" s="18"/>
      <c r="W358" s="157"/>
      <c r="X358" s="18"/>
      <c r="Y358" s="80"/>
      <c r="Z358" s="80"/>
      <c r="AA358" s="80"/>
      <c r="AB358" s="80"/>
      <c r="AC358" s="80"/>
      <c r="AD358" s="80"/>
      <c r="AE358" s="26"/>
      <c r="AF358" s="80"/>
      <c r="AG358" s="80"/>
      <c r="AH358" s="80"/>
      <c r="AI358" s="80"/>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row>
    <row r="359" spans="18:58">
      <c r="R359" s="194"/>
      <c r="S359" s="200"/>
      <c r="T359" s="18"/>
      <c r="U359" s="18"/>
      <c r="V359" s="18"/>
      <c r="W359" s="157"/>
      <c r="X359" s="18"/>
      <c r="Y359" s="80"/>
      <c r="Z359" s="80"/>
      <c r="AA359" s="80"/>
      <c r="AB359" s="80"/>
      <c r="AC359" s="56"/>
      <c r="AD359" s="80"/>
      <c r="AE359" s="26"/>
      <c r="AF359" s="80"/>
      <c r="AG359" s="80"/>
      <c r="AH359" s="80"/>
      <c r="AI359" s="80"/>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row>
    <row r="360" spans="18:58">
      <c r="R360" s="194"/>
      <c r="S360" s="200"/>
      <c r="T360" s="18"/>
      <c r="U360" s="18"/>
      <c r="V360" s="18"/>
      <c r="W360" s="157"/>
      <c r="X360" s="18"/>
      <c r="Y360" s="80"/>
      <c r="Z360" s="80"/>
      <c r="AA360" s="80"/>
      <c r="AB360" s="80"/>
      <c r="AC360" s="80"/>
      <c r="AD360" s="80"/>
      <c r="AE360" s="26"/>
      <c r="AF360" s="80"/>
      <c r="AG360" s="80"/>
      <c r="AH360" s="80"/>
      <c r="AI360" s="80"/>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row>
    <row r="361" spans="18:58">
      <c r="R361" s="194"/>
      <c r="S361" s="200"/>
      <c r="T361" s="18"/>
      <c r="U361" s="18"/>
      <c r="V361" s="18"/>
      <c r="W361" s="157"/>
      <c r="X361" s="18"/>
      <c r="Y361" s="18"/>
      <c r="Z361" s="80"/>
      <c r="AA361" s="80"/>
      <c r="AB361" s="80"/>
      <c r="AC361" s="56"/>
      <c r="AD361" s="80"/>
      <c r="AE361" s="26"/>
      <c r="AF361" s="80"/>
      <c r="AG361" s="80"/>
      <c r="AH361" s="80"/>
      <c r="AI361" s="80"/>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row>
    <row r="362" spans="18:58">
      <c r="R362" s="194"/>
      <c r="S362" s="200"/>
      <c r="T362" s="18"/>
      <c r="U362" s="18"/>
      <c r="V362" s="18"/>
      <c r="W362" s="157"/>
      <c r="X362" s="18"/>
      <c r="Y362" s="18"/>
      <c r="Z362" s="80"/>
      <c r="AA362" s="80"/>
      <c r="AB362" s="80"/>
      <c r="AC362" s="56"/>
      <c r="AD362" s="80"/>
      <c r="AE362" s="26"/>
      <c r="AF362" s="80"/>
      <c r="AG362" s="80"/>
      <c r="AH362" s="80"/>
      <c r="AI362" s="80"/>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row>
    <row r="363" spans="18:58">
      <c r="R363" s="194"/>
      <c r="S363" s="200"/>
      <c r="T363" s="18"/>
      <c r="U363" s="18"/>
      <c r="V363" s="18"/>
      <c r="W363" s="157"/>
      <c r="X363" s="18"/>
      <c r="Y363" s="18"/>
      <c r="Z363" s="80"/>
      <c r="AA363" s="80"/>
      <c r="AB363" s="80"/>
      <c r="AC363" s="80"/>
      <c r="AD363" s="80"/>
      <c r="AE363" s="26"/>
      <c r="AF363" s="80"/>
      <c r="AG363" s="80"/>
      <c r="AH363" s="80"/>
      <c r="AI363" s="80"/>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row>
    <row r="364" spans="18:58">
      <c r="R364" s="194"/>
      <c r="S364" s="200"/>
      <c r="T364" s="18"/>
      <c r="U364" s="18"/>
      <c r="V364" s="18"/>
      <c r="W364" s="157"/>
      <c r="X364" s="18"/>
      <c r="Y364" s="18"/>
      <c r="Z364" s="80"/>
      <c r="AA364" s="80"/>
      <c r="AB364" s="80"/>
      <c r="AC364" s="80"/>
      <c r="AD364" s="80"/>
      <c r="AE364" s="26"/>
      <c r="AF364" s="80"/>
      <c r="AG364" s="80"/>
      <c r="AH364" s="80"/>
      <c r="AI364" s="80"/>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row>
    <row r="365" spans="18:58">
      <c r="R365" s="194"/>
      <c r="S365" s="200"/>
      <c r="T365" s="18"/>
      <c r="U365" s="18"/>
      <c r="V365" s="18"/>
      <c r="W365" s="157"/>
      <c r="X365" s="18"/>
      <c r="Y365" s="18"/>
      <c r="Z365" s="80"/>
      <c r="AA365" s="80"/>
      <c r="AB365" s="80"/>
      <c r="AC365" s="80"/>
      <c r="AD365" s="80"/>
      <c r="AE365" s="26"/>
      <c r="AF365" s="80"/>
      <c r="AG365" s="80"/>
      <c r="AH365" s="80"/>
      <c r="AI365" s="80"/>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row>
    <row r="366" spans="18:58">
      <c r="R366" s="194"/>
      <c r="S366" s="200"/>
      <c r="T366" s="18"/>
      <c r="U366" s="18"/>
      <c r="V366" s="18"/>
      <c r="W366" s="157"/>
      <c r="X366" s="18"/>
      <c r="Y366" s="18"/>
      <c r="Z366" s="80"/>
      <c r="AA366" s="80"/>
      <c r="AB366" s="80"/>
      <c r="AC366" s="80"/>
      <c r="AD366" s="80"/>
      <c r="AE366" s="26"/>
      <c r="AF366" s="80"/>
      <c r="AG366" s="235"/>
      <c r="AH366" s="80"/>
      <c r="AI366" s="80"/>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row>
    <row r="367" spans="18:58">
      <c r="R367" s="194"/>
      <c r="S367" s="200"/>
      <c r="T367" s="18"/>
      <c r="U367" s="18"/>
      <c r="V367" s="18"/>
      <c r="W367" s="157"/>
      <c r="X367" s="18"/>
      <c r="Y367" s="18"/>
      <c r="Z367" s="80"/>
      <c r="AA367" s="80"/>
      <c r="AB367" s="80"/>
      <c r="AC367" s="80"/>
      <c r="AD367" s="80"/>
      <c r="AE367" s="26"/>
      <c r="AF367" s="18"/>
      <c r="AG367" s="235"/>
      <c r="AH367" s="80"/>
      <c r="AI367" s="80"/>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row>
    <row r="368" spans="18:58">
      <c r="R368" s="194"/>
      <c r="S368" s="200"/>
      <c r="T368" s="18"/>
      <c r="U368" s="18"/>
      <c r="V368" s="18"/>
      <c r="W368" s="157"/>
      <c r="X368" s="18"/>
      <c r="Y368" s="18"/>
      <c r="Z368" s="80"/>
      <c r="AA368" s="80"/>
      <c r="AB368" s="80"/>
      <c r="AC368" s="80"/>
      <c r="AD368" s="80"/>
      <c r="AE368" s="26"/>
      <c r="AF368" s="18"/>
      <c r="AG368" s="235"/>
      <c r="AH368" s="80"/>
      <c r="AI368" s="80"/>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row>
    <row r="369" spans="18:58">
      <c r="R369" s="194"/>
      <c r="S369" s="200"/>
      <c r="T369" s="18"/>
      <c r="U369" s="18"/>
      <c r="V369" s="18"/>
      <c r="W369" s="157"/>
      <c r="X369" s="18"/>
      <c r="Y369" s="18"/>
      <c r="Z369" s="80"/>
      <c r="AA369" s="80"/>
      <c r="AB369" s="80"/>
      <c r="AC369" s="80"/>
      <c r="AD369" s="80"/>
      <c r="AE369" s="26"/>
      <c r="AF369" s="18"/>
      <c r="AG369" s="235"/>
      <c r="AH369" s="80"/>
      <c r="AI369" s="80"/>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row>
    <row r="370" spans="18:58">
      <c r="R370" s="194"/>
      <c r="S370" s="200"/>
      <c r="T370" s="18"/>
      <c r="U370" s="18"/>
      <c r="V370" s="18"/>
      <c r="W370" s="157"/>
      <c r="X370" s="18"/>
      <c r="Y370" s="18"/>
      <c r="Z370" s="80"/>
      <c r="AA370" s="80"/>
      <c r="AB370" s="80"/>
      <c r="AC370" s="80"/>
      <c r="AD370" s="80"/>
      <c r="AE370" s="26"/>
      <c r="AF370" s="18"/>
      <c r="AG370" s="235"/>
      <c r="AH370" s="80"/>
      <c r="AI370" s="80"/>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row>
    <row r="371" spans="18:58">
      <c r="R371" s="194"/>
      <c r="S371" s="200"/>
      <c r="T371" s="18"/>
      <c r="U371" s="18"/>
      <c r="V371" s="18"/>
      <c r="W371" s="157"/>
      <c r="X371" s="18"/>
      <c r="Y371" s="18"/>
      <c r="Z371" s="80"/>
      <c r="AA371" s="80"/>
      <c r="AB371" s="80"/>
      <c r="AC371" s="80"/>
      <c r="AD371" s="80"/>
      <c r="AE371" s="26"/>
      <c r="AF371" s="18"/>
      <c r="AG371" s="235"/>
      <c r="AH371" s="80"/>
      <c r="AI371" s="80"/>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row>
    <row r="372" spans="18:58">
      <c r="R372" s="194"/>
      <c r="S372" s="200"/>
      <c r="T372" s="18"/>
      <c r="U372" s="18"/>
      <c r="V372" s="18"/>
      <c r="W372" s="157"/>
      <c r="X372" s="18"/>
      <c r="Y372" s="18"/>
      <c r="Z372" s="80"/>
      <c r="AA372" s="80"/>
      <c r="AB372" s="80"/>
      <c r="AC372" s="80"/>
      <c r="AD372" s="80"/>
      <c r="AE372" s="26"/>
      <c r="AF372" s="18"/>
      <c r="AG372" s="235"/>
      <c r="AH372" s="80"/>
      <c r="AI372" s="80"/>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row>
    <row r="373" spans="18:58">
      <c r="R373" s="194"/>
      <c r="S373" s="200"/>
      <c r="T373" s="18"/>
      <c r="U373" s="18"/>
      <c r="V373" s="18"/>
      <c r="W373" s="157"/>
      <c r="X373" s="18"/>
      <c r="Y373" s="18"/>
      <c r="Z373" s="80"/>
      <c r="AA373" s="80"/>
      <c r="AB373" s="80"/>
      <c r="AC373" s="80"/>
      <c r="AD373" s="80"/>
      <c r="AE373" s="26"/>
      <c r="AF373" s="80"/>
      <c r="AG373" s="80"/>
      <c r="AH373" s="80"/>
      <c r="AI373" s="80"/>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row>
    <row r="374" spans="18:58">
      <c r="R374" s="194"/>
      <c r="S374" s="200"/>
      <c r="T374" s="18"/>
      <c r="U374" s="18"/>
      <c r="V374" s="18"/>
      <c r="W374" s="157"/>
      <c r="X374" s="18"/>
      <c r="Y374" s="18"/>
      <c r="Z374" s="80"/>
      <c r="AA374" s="80"/>
      <c r="AB374" s="80"/>
      <c r="AC374" s="80"/>
      <c r="AD374" s="80"/>
      <c r="AE374" s="124"/>
      <c r="AF374" s="56"/>
      <c r="AG374" s="80"/>
      <c r="AH374" s="80"/>
      <c r="AI374" s="80"/>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row>
    <row r="375" spans="18:58">
      <c r="R375" s="194"/>
      <c r="S375" s="200"/>
      <c r="T375" s="18"/>
      <c r="U375" s="18"/>
      <c r="V375" s="18"/>
      <c r="W375" s="157"/>
      <c r="X375" s="18"/>
      <c r="Y375" s="18"/>
      <c r="Z375" s="80"/>
      <c r="AA375" s="80"/>
      <c r="AB375" s="80"/>
      <c r="AC375" s="80"/>
      <c r="AD375" s="80"/>
      <c r="AE375" s="124"/>
      <c r="AF375" s="56"/>
      <c r="AG375" s="80"/>
      <c r="AH375" s="80"/>
      <c r="AI375" s="80"/>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row>
    <row r="376" spans="18:58">
      <c r="R376" s="194"/>
      <c r="S376" s="200"/>
      <c r="T376" s="18"/>
      <c r="U376" s="18"/>
      <c r="V376" s="18"/>
      <c r="W376" s="157"/>
      <c r="X376" s="18"/>
      <c r="Y376" s="18"/>
      <c r="Z376" s="80"/>
      <c r="AA376" s="80"/>
      <c r="AB376" s="80"/>
      <c r="AC376" s="80"/>
      <c r="AD376" s="80"/>
      <c r="AE376" s="124"/>
      <c r="AF376" s="56"/>
      <c r="AG376" s="80"/>
      <c r="AH376" s="80"/>
      <c r="AI376" s="80"/>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row>
    <row r="377" spans="18:58">
      <c r="R377" s="194"/>
      <c r="S377" s="200"/>
      <c r="T377" s="18"/>
      <c r="U377" s="18"/>
      <c r="V377" s="18"/>
      <c r="W377" s="157"/>
      <c r="X377" s="18"/>
      <c r="Y377" s="18"/>
      <c r="Z377" s="80"/>
      <c r="AA377" s="80"/>
      <c r="AB377" s="80"/>
      <c r="AC377" s="80"/>
      <c r="AD377" s="80"/>
      <c r="AE377" s="26"/>
      <c r="AF377" s="80"/>
      <c r="AG377" s="80"/>
      <c r="AH377" s="80"/>
      <c r="AI377" s="80"/>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row>
    <row r="378" spans="18:58">
      <c r="R378" s="194"/>
      <c r="S378" s="200"/>
      <c r="T378" s="18"/>
      <c r="U378" s="18"/>
      <c r="V378" s="18"/>
      <c r="W378" s="157"/>
      <c r="X378" s="18"/>
      <c r="Y378" s="18"/>
      <c r="Z378" s="18"/>
      <c r="AA378" s="18"/>
      <c r="AB378" s="80"/>
      <c r="AC378" s="18"/>
      <c r="AD378" s="18"/>
      <c r="AE378" s="19"/>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row>
    <row r="379" spans="18:58">
      <c r="R379" s="194"/>
      <c r="S379" s="200"/>
      <c r="T379" s="18"/>
      <c r="U379" s="18"/>
      <c r="V379" s="18"/>
      <c r="W379" s="157"/>
      <c r="X379" s="18"/>
      <c r="Y379" s="18"/>
      <c r="Z379" s="18"/>
      <c r="AA379" s="18"/>
      <c r="AB379" s="18"/>
      <c r="AC379" s="18"/>
      <c r="AD379" s="18"/>
      <c r="AE379" s="19"/>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row>
    <row r="380" spans="18:58">
      <c r="R380" s="194"/>
      <c r="S380" s="200"/>
      <c r="T380" s="18"/>
      <c r="U380" s="18"/>
      <c r="V380" s="18"/>
      <c r="W380" s="157"/>
      <c r="X380" s="18"/>
      <c r="Y380" s="18"/>
      <c r="Z380" s="18"/>
      <c r="AA380" s="18"/>
      <c r="AB380" s="18"/>
      <c r="AC380" s="18"/>
      <c r="AD380" s="18"/>
      <c r="AE380" s="19"/>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row>
    <row r="381" spans="18:58">
      <c r="R381" s="194"/>
      <c r="S381" s="200"/>
      <c r="T381" s="18"/>
      <c r="U381" s="18"/>
      <c r="V381" s="18"/>
      <c r="W381" s="157"/>
      <c r="X381" s="18"/>
      <c r="Y381" s="18"/>
      <c r="Z381" s="18"/>
      <c r="AA381" s="18"/>
      <c r="AB381" s="18"/>
      <c r="AC381" s="18"/>
      <c r="AD381" s="18"/>
      <c r="AE381" s="19"/>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row>
    <row r="382" spans="18:58">
      <c r="R382" s="194"/>
      <c r="S382" s="200"/>
      <c r="T382" s="18"/>
      <c r="U382" s="18"/>
      <c r="V382" s="18"/>
      <c r="W382" s="157"/>
      <c r="X382" s="18"/>
      <c r="Y382" s="18"/>
      <c r="Z382" s="18"/>
      <c r="AA382" s="18"/>
      <c r="AB382" s="18"/>
      <c r="AC382" s="18"/>
      <c r="AD382" s="18"/>
      <c r="AE382" s="19"/>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row>
    <row r="383" spans="18:58">
      <c r="R383" s="194"/>
      <c r="S383" s="200"/>
      <c r="T383" s="18"/>
      <c r="U383" s="18"/>
      <c r="V383" s="18"/>
      <c r="W383" s="157"/>
      <c r="X383" s="18"/>
      <c r="Y383" s="18"/>
      <c r="Z383" s="18"/>
      <c r="AA383" s="18"/>
      <c r="AB383" s="18"/>
      <c r="AC383" s="18"/>
      <c r="AD383" s="18"/>
      <c r="AE383" s="19"/>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row>
    <row r="384" spans="18:58">
      <c r="R384" s="194"/>
      <c r="S384" s="200"/>
      <c r="T384" s="18"/>
      <c r="U384" s="18"/>
      <c r="V384" s="18"/>
      <c r="W384" s="157"/>
      <c r="X384" s="18"/>
      <c r="Y384" s="18"/>
      <c r="Z384" s="18"/>
      <c r="AA384" s="18"/>
      <c r="AB384" s="18"/>
      <c r="AC384" s="18"/>
      <c r="AD384" s="18"/>
      <c r="AE384" s="19"/>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row>
    <row r="385" spans="18:58">
      <c r="R385" s="194"/>
      <c r="S385" s="200"/>
      <c r="T385" s="18"/>
      <c r="U385" s="18"/>
      <c r="V385" s="18"/>
      <c r="W385" s="157"/>
      <c r="X385" s="18"/>
      <c r="Y385" s="18"/>
      <c r="Z385" s="18"/>
      <c r="AA385" s="18"/>
      <c r="AB385" s="18"/>
      <c r="AC385" s="18"/>
      <c r="AD385" s="18"/>
      <c r="AE385" s="19"/>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row>
    <row r="386" spans="18:58">
      <c r="R386" s="194"/>
      <c r="S386" s="200"/>
      <c r="T386" s="18"/>
      <c r="U386" s="18"/>
      <c r="V386" s="18"/>
      <c r="W386" s="157"/>
      <c r="X386" s="18"/>
      <c r="Y386" s="18"/>
      <c r="Z386" s="18"/>
      <c r="AA386" s="18"/>
      <c r="AB386" s="18"/>
      <c r="AC386" s="18"/>
      <c r="AD386" s="18"/>
      <c r="AE386" s="19"/>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row>
    <row r="387" spans="18:58">
      <c r="R387" s="194"/>
      <c r="S387" s="200"/>
      <c r="T387" s="18"/>
      <c r="U387" s="18"/>
      <c r="V387" s="18"/>
      <c r="W387" s="157"/>
      <c r="X387" s="18"/>
      <c r="Y387" s="18"/>
      <c r="Z387" s="18"/>
      <c r="AA387" s="18"/>
      <c r="AB387" s="18"/>
      <c r="AC387" s="18"/>
      <c r="AD387" s="18"/>
      <c r="AE387" s="19"/>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row>
    <row r="388" spans="18:58">
      <c r="R388" s="194"/>
      <c r="S388" s="200"/>
      <c r="T388" s="18"/>
      <c r="U388" s="18"/>
      <c r="V388" s="18"/>
      <c r="W388" s="157"/>
      <c r="X388" s="18"/>
      <c r="Y388" s="18"/>
      <c r="Z388" s="18"/>
      <c r="AA388" s="18"/>
      <c r="AB388" s="18"/>
      <c r="AC388" s="18"/>
      <c r="AD388" s="18"/>
      <c r="AE388" s="19"/>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row>
    <row r="389" spans="18:58">
      <c r="R389" s="194"/>
      <c r="S389" s="200"/>
      <c r="T389" s="18"/>
      <c r="U389" s="18"/>
      <c r="V389" s="18"/>
      <c r="W389" s="157"/>
      <c r="X389" s="18"/>
      <c r="Y389" s="18"/>
      <c r="Z389" s="18"/>
      <c r="AA389" s="18"/>
      <c r="AB389" s="18"/>
      <c r="AC389" s="18"/>
      <c r="AD389" s="18"/>
      <c r="AE389" s="19"/>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row>
    <row r="390" spans="18:58">
      <c r="R390" s="194"/>
      <c r="V390" s="18"/>
      <c r="W390" s="157"/>
      <c r="X390" s="18"/>
      <c r="Y390" s="18"/>
      <c r="Z390" s="18"/>
      <c r="AA390" s="18"/>
      <c r="AB390" s="18"/>
      <c r="AC390" s="18"/>
      <c r="AD390" s="18"/>
      <c r="AE390" s="19"/>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row>
    <row r="391" spans="18:58">
      <c r="R391" s="194"/>
      <c r="V391" s="18"/>
      <c r="W391" s="157"/>
      <c r="X391" s="18"/>
      <c r="Y391" s="18"/>
      <c r="Z391" s="18"/>
      <c r="AA391" s="18"/>
      <c r="AB391" s="18"/>
      <c r="AC391" s="18"/>
      <c r="AD391" s="18"/>
      <c r="AE391" s="19"/>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row>
    <row r="392" spans="18:58">
      <c r="R392" s="194"/>
      <c r="V392" s="18"/>
      <c r="W392" s="157"/>
      <c r="X392" s="18"/>
      <c r="Y392" s="18"/>
      <c r="Z392" s="18"/>
      <c r="AA392" s="18"/>
      <c r="AB392" s="18"/>
      <c r="AC392" s="18"/>
      <c r="AD392" s="18"/>
      <c r="AE392" s="19"/>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row>
    <row r="393" spans="18:58">
      <c r="R393" s="194"/>
      <c r="V393" s="18"/>
      <c r="W393" s="157"/>
      <c r="X393" s="18"/>
      <c r="Y393" s="18"/>
      <c r="Z393" s="18"/>
      <c r="AA393" s="18"/>
      <c r="AB393" s="18"/>
      <c r="AC393" s="18"/>
      <c r="AD393" s="18"/>
      <c r="AE393" s="19"/>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row>
    <row r="394" spans="18:58">
      <c r="R394" s="194"/>
      <c r="V394" s="18"/>
      <c r="W394" s="157"/>
      <c r="X394" s="18"/>
      <c r="Y394" s="18"/>
      <c r="Z394" s="18"/>
      <c r="AA394" s="18"/>
      <c r="AB394" s="18"/>
      <c r="AC394" s="18"/>
      <c r="AD394" s="18"/>
      <c r="AE394" s="19"/>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row>
    <row r="395" spans="18:58">
      <c r="R395" s="194"/>
      <c r="V395" s="18"/>
      <c r="W395" s="157"/>
      <c r="X395" s="18"/>
      <c r="Y395" s="18"/>
      <c r="Z395" s="18"/>
      <c r="AA395" s="18"/>
      <c r="AB395" s="18"/>
      <c r="AC395" s="18"/>
      <c r="AD395" s="18"/>
      <c r="AE395" s="19"/>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row>
    <row r="396" spans="18:58">
      <c r="R396" s="194"/>
      <c r="V396" s="18"/>
      <c r="W396" s="157"/>
      <c r="X396" s="18"/>
      <c r="Y396" s="18"/>
      <c r="Z396" s="18"/>
      <c r="AA396" s="18"/>
      <c r="AB396" s="18"/>
      <c r="AC396" s="18"/>
      <c r="AD396" s="18"/>
      <c r="AE396" s="19"/>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row>
    <row r="397" spans="18:58">
      <c r="R397" s="194"/>
      <c r="V397" s="18"/>
      <c r="W397" s="157"/>
      <c r="X397" s="18"/>
      <c r="Y397" s="18"/>
      <c r="Z397" s="18"/>
      <c r="AA397" s="18"/>
      <c r="AB397" s="18"/>
      <c r="AC397" s="18"/>
      <c r="AD397" s="18"/>
      <c r="AE397" s="19"/>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row>
    <row r="398" spans="18:58">
      <c r="R398" s="194"/>
      <c r="V398" s="18"/>
      <c r="W398" s="157"/>
      <c r="X398" s="18"/>
      <c r="Y398" s="18"/>
      <c r="Z398" s="18"/>
      <c r="AA398" s="18"/>
      <c r="AB398" s="18"/>
      <c r="AC398" s="18"/>
      <c r="AD398" s="18"/>
      <c r="AE398" s="19"/>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row>
    <row r="399" spans="18:58">
      <c r="R399" s="194"/>
      <c r="V399" s="18"/>
      <c r="W399" s="157"/>
      <c r="X399" s="18"/>
      <c r="Y399" s="18"/>
      <c r="Z399" s="18"/>
      <c r="AA399" s="18"/>
      <c r="AB399" s="18"/>
      <c r="AC399" s="18"/>
      <c r="AD399" s="18"/>
      <c r="AE399" s="19"/>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row>
    <row r="400" spans="18:58">
      <c r="R400" s="194"/>
      <c r="V400" s="18"/>
      <c r="W400" s="157"/>
      <c r="X400" s="18"/>
      <c r="Y400" s="18"/>
      <c r="Z400" s="18"/>
      <c r="AA400" s="18"/>
      <c r="AB400" s="18"/>
      <c r="AC400" s="18"/>
      <c r="AD400" s="18"/>
      <c r="AE400" s="19"/>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row>
    <row r="401" spans="18:58">
      <c r="R401" s="194"/>
      <c r="V401" s="18"/>
      <c r="W401" s="157"/>
      <c r="X401" s="18"/>
      <c r="Y401" s="18"/>
      <c r="Z401" s="18"/>
      <c r="AA401" s="18"/>
      <c r="AB401" s="18"/>
      <c r="AC401" s="18"/>
      <c r="AD401" s="18"/>
      <c r="AE401" s="19"/>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row>
    <row r="402" spans="18:58">
      <c r="R402" s="194"/>
      <c r="V402" s="18"/>
      <c r="W402" s="157"/>
      <c r="X402" s="18"/>
      <c r="Y402" s="18"/>
      <c r="Z402" s="18"/>
      <c r="AA402" s="18"/>
      <c r="AB402" s="18"/>
      <c r="AC402" s="18"/>
      <c r="AD402" s="18"/>
      <c r="AE402" s="19"/>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row>
    <row r="403" spans="18:58">
      <c r="R403" s="194"/>
      <c r="V403" s="18"/>
      <c r="W403" s="157"/>
      <c r="X403" s="18"/>
      <c r="Y403" s="18"/>
      <c r="Z403" s="18"/>
      <c r="AA403" s="18"/>
      <c r="AB403" s="18"/>
      <c r="AC403" s="18"/>
      <c r="AD403" s="18"/>
      <c r="AE403" s="19"/>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row>
    <row r="404" spans="18:58">
      <c r="R404" s="194"/>
      <c r="V404" s="18"/>
      <c r="W404" s="157"/>
      <c r="X404" s="18"/>
      <c r="Y404" s="18"/>
      <c r="Z404" s="18"/>
      <c r="AA404" s="18"/>
      <c r="AB404" s="18"/>
      <c r="AC404" s="18"/>
      <c r="AD404" s="18"/>
      <c r="AE404" s="19"/>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row>
    <row r="405" spans="18:58">
      <c r="R405" s="194"/>
      <c r="V405" s="18"/>
      <c r="W405" s="157"/>
      <c r="X405" s="18"/>
      <c r="Y405" s="18"/>
      <c r="Z405" s="18"/>
      <c r="AA405" s="18"/>
      <c r="AB405" s="18"/>
      <c r="AC405" s="18"/>
      <c r="AD405" s="18"/>
      <c r="AE405" s="19"/>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row>
    <row r="406" spans="18:58">
      <c r="R406" s="194"/>
      <c r="V406" s="18"/>
      <c r="Z406" s="18"/>
      <c r="AA406" s="18"/>
      <c r="AB406" s="18"/>
      <c r="AC406" s="18"/>
      <c r="AD406" s="18"/>
      <c r="AE406" s="19"/>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row>
    <row r="407" spans="18:58">
      <c r="R407" s="194"/>
      <c r="V407" s="18"/>
      <c r="Z407" s="18"/>
      <c r="AA407" s="18"/>
      <c r="AB407" s="18"/>
      <c r="AC407" s="18"/>
      <c r="AD407" s="18"/>
      <c r="AE407" s="19"/>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row>
    <row r="408" spans="18:58">
      <c r="R408" s="194"/>
      <c r="V408" s="18"/>
      <c r="Z408" s="18"/>
      <c r="AA408" s="18"/>
      <c r="AB408" s="18"/>
      <c r="AC408" s="18"/>
      <c r="AD408" s="18"/>
      <c r="AE408" s="19"/>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row>
    <row r="409" spans="18:58">
      <c r="R409" s="194"/>
      <c r="V409" s="18"/>
      <c r="Z409" s="18"/>
      <c r="AA409" s="18"/>
      <c r="AB409" s="18"/>
      <c r="AC409" s="18"/>
      <c r="AD409" s="18"/>
      <c r="AE409" s="19"/>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row>
    <row r="410" spans="18:58">
      <c r="R410" s="194"/>
      <c r="V410" s="18"/>
      <c r="Z410" s="18"/>
      <c r="AA410" s="18"/>
      <c r="AB410" s="18"/>
      <c r="AC410" s="18"/>
      <c r="AD410" s="18"/>
      <c r="AE410" s="19"/>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row>
    <row r="411" spans="18:58">
      <c r="R411" s="194"/>
      <c r="V411" s="18"/>
      <c r="Z411" s="18"/>
      <c r="AA411" s="18"/>
      <c r="AB411" s="18"/>
      <c r="AC411" s="18"/>
      <c r="AD411" s="18"/>
      <c r="AE411" s="19"/>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row>
    <row r="412" spans="18:58">
      <c r="R412" s="194"/>
      <c r="V412" s="18"/>
      <c r="Z412" s="18"/>
      <c r="AA412" s="18"/>
      <c r="AB412" s="18"/>
      <c r="AC412" s="18"/>
      <c r="AD412" s="18"/>
      <c r="AE412" s="19"/>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row>
    <row r="413" spans="18:58">
      <c r="R413" s="194"/>
      <c r="V413" s="18"/>
      <c r="Z413" s="18"/>
      <c r="AA413" s="18"/>
      <c r="AB413" s="18"/>
      <c r="AC413" s="18"/>
      <c r="AD413" s="18"/>
      <c r="AE413" s="19"/>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row>
    <row r="414" spans="18:58">
      <c r="R414" s="194"/>
      <c r="V414" s="18"/>
      <c r="Z414" s="18"/>
      <c r="AA414" s="18"/>
      <c r="AB414" s="18"/>
      <c r="AC414" s="18"/>
      <c r="AD414" s="18"/>
      <c r="AE414" s="19"/>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row>
    <row r="415" spans="18:58">
      <c r="R415" s="194"/>
      <c r="V415" s="18"/>
      <c r="Z415" s="18"/>
      <c r="AA415" s="18"/>
      <c r="AB415" s="18"/>
      <c r="AC415" s="18"/>
      <c r="AD415" s="18"/>
      <c r="AE415" s="19"/>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row>
    <row r="416" spans="18:58">
      <c r="R416" s="194"/>
      <c r="V416" s="18"/>
      <c r="Z416" s="18"/>
      <c r="AA416" s="18"/>
      <c r="AB416" s="18"/>
      <c r="AC416" s="18"/>
      <c r="AD416" s="18"/>
      <c r="AE416" s="19"/>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row>
    <row r="417" spans="18:58">
      <c r="R417" s="194"/>
      <c r="V417" s="18"/>
      <c r="Z417" s="18"/>
      <c r="AA417" s="18"/>
      <c r="AB417" s="18"/>
      <c r="AC417" s="18"/>
      <c r="AD417" s="18"/>
      <c r="AE417" s="19"/>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row>
    <row r="418" spans="18:58">
      <c r="R418" s="194"/>
      <c r="V418" s="18"/>
      <c r="Z418" s="18"/>
      <c r="AA418" s="18"/>
      <c r="AB418" s="18"/>
      <c r="AC418" s="18"/>
      <c r="AD418" s="18"/>
      <c r="AE418" s="19"/>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row>
    <row r="419" spans="18:58">
      <c r="R419" s="194"/>
      <c r="V419" s="18"/>
      <c r="Z419" s="18"/>
      <c r="AA419" s="18"/>
      <c r="AB419" s="18"/>
      <c r="AC419" s="18"/>
      <c r="AD419" s="18"/>
      <c r="AE419" s="19"/>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row>
    <row r="420" spans="18:58">
      <c r="R420" s="194"/>
      <c r="V420" s="18"/>
      <c r="Z420" s="18"/>
      <c r="AA420" s="18"/>
      <c r="AB420" s="18"/>
      <c r="AC420" s="18"/>
      <c r="AD420" s="18"/>
      <c r="AE420" s="19"/>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row>
    <row r="421" spans="18:58">
      <c r="R421" s="194"/>
      <c r="V421" s="18"/>
      <c r="Z421" s="18"/>
      <c r="AA421" s="18"/>
      <c r="AB421" s="18"/>
      <c r="AC421" s="18"/>
      <c r="AD421" s="18"/>
      <c r="AE421" s="19"/>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row>
    <row r="422" spans="26:58">
      <c r="Z422" s="18"/>
      <c r="AA422" s="18"/>
      <c r="AB422" s="18"/>
      <c r="AC422" s="18"/>
      <c r="AD422" s="18"/>
      <c r="AE422" s="19"/>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row>
    <row r="423" spans="28:28">
      <c r="AB423" s="18"/>
    </row>
  </sheetData>
  <mergeCells count="15">
    <mergeCell ref="B1:D1"/>
    <mergeCell ref="E1:L1"/>
    <mergeCell ref="G8:J8"/>
    <mergeCell ref="L8:M8"/>
    <mergeCell ref="G9:J9"/>
    <mergeCell ref="L9:M9"/>
    <mergeCell ref="L10:M10"/>
    <mergeCell ref="L11:M11"/>
    <mergeCell ref="G12:J12"/>
    <mergeCell ref="L13:M13"/>
    <mergeCell ref="C15:C20"/>
    <mergeCell ref="AA16:AC18"/>
    <mergeCell ref="A24:M25"/>
    <mergeCell ref="A26:M27"/>
    <mergeCell ref="D15:L20"/>
  </mergeCells>
  <dataValidations count="10">
    <dataValidation type="custom" allowBlank="1" showInputMessage="1" showErrorMessage="1" errorTitle="ERROR" error="1. The horizontal pixels must be less than 7680, and it must be a multiple of 4.&#10;2. The maximum height：1080x7680@60Hz." sqref="C2">
      <formula1>AND(MOD(C2,4)=0,C2&lt;=7680)</formula1>
    </dataValidation>
    <dataValidation type="custom" showInputMessage="1" showErrorMessage="1" errorTitle="Invalid Entry!" error="Please enter Y or N (Yes/No)." sqref="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formula1>OR(K10="Y",K10="N")</formula1>
    </dataValidation>
    <dataValidation type="custom" allowBlank="1" showInputMessage="1" showErrorMessage="1" errorTitle="不支持的水平分辨率。" error="1. 水平分辨率必须小于7680点，且需保证水平点数为4的倍数。&#10;2. 极限最高：1080X7680@60Hz。" sqref="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AND(MOD(C2,4)=0,C2&lt;=7680)</formula1>
    </dataValidation>
    <dataValidation type="decimal" operator="between" allowBlank="1" showInputMessage="1" showErrorMessage="1" errorTitle="ERROR" error="The vertical lines must be less than or equal to 7680." sqref="C3">
      <formula1>64</formula1>
      <formula2>7680</formula2>
    </dataValidation>
    <dataValidation type="custom" allowBlank="1" showInputMessage="1" showErrorMessage="1" errorTitle="Invalid Entry!" error="Please enter Y or N (Yes/No)."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formula1>OR(K11="Y",K11="N")</formula1>
    </dataValidation>
    <dataValidation type="decimal" operator="between" allowBlank="1" showInputMessage="1" showErrorMessage="1" errorTitle="不支持的垂直分辨率。" error="垂直分辨率必须小于等于7680行。" sqref="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64</formula1>
      <formula2>7680</formula2>
    </dataValidation>
    <dataValidation type="whole" operator="between"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24</formula1>
      <formula2>120</formula2>
    </dataValidation>
    <dataValidation type="whole" operator="greaterThan" showInputMessage="1" showErrorMessage="1" errorTitle="Invalid Number!" error="Horizontal Pixel value should be a whole number." promptTitle="Note:" prompt="Value will be rounded to the nearest integer number of character cells." 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formula1>0</formula1>
    </dataValidation>
    <dataValidation type="whole" operator="greaterThan" allowBlank="1" showInputMessage="1" showErrorMessage="1" errorTitle="Invalid Number!" error="Vertical Pixel value should be a whole number." promptTitle="Note:" prompt="Vertical Pixel value will be rounded to nearest integer." 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formula1>0</formula1>
    </dataValidation>
    <dataValidation type="decimal" operator="greaterThan" allowBlank="1" showInputMessage="1" showErrorMessage="1" errorTitle="Invalid Number!" error="Frame Rate value must be a number." promptTitle="Vertical Frame Rate:" prompt="CVT Standard Frame Rates are:&#10;    50Hz&#10;    60Hz&#10;    75Hz&#10;    85Hz" 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formula1>0</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Rev 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丁丁</cp:lastModifiedBy>
  <dcterms:created xsi:type="dcterms:W3CDTF">2015-06-05T18:19:00Z</dcterms:created>
  <dcterms:modified xsi:type="dcterms:W3CDTF">2019-09-25T10:39:53Z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